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МолочниковМА\Documents\Новая папка\Конкурсы\Краткосрочный план 2016 год\"/>
    </mc:Choice>
  </mc:AlternateContent>
  <bookViews>
    <workbookView xWindow="0" yWindow="0" windowWidth="28800" windowHeight="12435" tabRatio="468" activeTab="1"/>
  </bookViews>
  <sheets>
    <sheet name="часть 1" sheetId="36" r:id="rId1"/>
    <sheet name="часть 2" sheetId="37" r:id="rId2"/>
    <sheet name="часть 3" sheetId="38" r:id="rId3"/>
  </sheets>
  <definedNames>
    <definedName name="_xlnm._FilterDatabase" localSheetId="0" hidden="1">'часть 1'!$A$14:$S$580</definedName>
    <definedName name="_xlnm._FilterDatabase" localSheetId="1" hidden="1">'часть 2'!$A$5:$O$558</definedName>
    <definedName name="_xlnm._FilterDatabase" localSheetId="2" hidden="1">'часть 3'!$A$5:$N$93</definedName>
    <definedName name="_xlnm.Print_Titles" localSheetId="0">'часть 1'!$15:$15</definedName>
    <definedName name="_xlnm.Print_Titles" localSheetId="1">'часть 2'!$5:$5</definedName>
    <definedName name="_xlnm.Print_Titles" localSheetId="2">'часть 3'!$5:$5</definedName>
    <definedName name="_xlnm.Print_Area" localSheetId="0">'часть 1'!$A$1:$S$580</definedName>
    <definedName name="_xlnm.Print_Area" localSheetId="1">'часть 2'!$A$1:$O$558</definedName>
    <definedName name="_xlnm.Print_Area" localSheetId="2">'часть 3'!$A$1:$N$93</definedName>
    <definedName name="Перечень" localSheetId="0">#REF!</definedName>
    <definedName name="Перечень">#REF!</definedName>
    <definedName name="Перечень2" localSheetId="0">#REF!</definedName>
    <definedName name="Перечень2">#REF!</definedName>
    <definedName name="Перечень3" localSheetId="0">#REF!</definedName>
    <definedName name="Перечень3">#REF!</definedName>
    <definedName name="Перечень4">#REF!</definedName>
  </definedNames>
  <calcPr calcId="152511"/>
</workbook>
</file>

<file path=xl/calcChain.xml><?xml version="1.0" encoding="utf-8"?>
<calcChain xmlns="http://schemas.openxmlformats.org/spreadsheetml/2006/main">
  <c r="H421" i="36" l="1"/>
  <c r="J520" i="36" l="1"/>
  <c r="I520" i="36"/>
  <c r="H265" i="36" l="1"/>
  <c r="I265" i="36"/>
  <c r="J265" i="36"/>
  <c r="K265" i="36"/>
  <c r="M265" i="36"/>
  <c r="N265" i="36"/>
  <c r="P265" i="36"/>
  <c r="L265" i="36"/>
  <c r="Q267" i="36"/>
  <c r="Q270" i="36"/>
  <c r="H378" i="36"/>
  <c r="I479" i="36"/>
  <c r="J479" i="36"/>
  <c r="K479" i="36"/>
  <c r="L479" i="36"/>
  <c r="M479" i="36"/>
  <c r="N479" i="36"/>
  <c r="O479" i="36"/>
  <c r="P479" i="36"/>
  <c r="H479" i="36"/>
  <c r="I477" i="36"/>
  <c r="J477" i="36"/>
  <c r="K477" i="36"/>
  <c r="L477" i="36"/>
  <c r="M477" i="36"/>
  <c r="N477" i="36"/>
  <c r="O477" i="36"/>
  <c r="P477" i="36"/>
  <c r="H477" i="36"/>
  <c r="Q480" i="36"/>
  <c r="Q478" i="36"/>
  <c r="N275" i="36"/>
  <c r="M275" i="36"/>
  <c r="L275" i="36"/>
  <c r="K275" i="36"/>
  <c r="I275" i="36"/>
  <c r="L292" i="36"/>
  <c r="L291" i="36"/>
  <c r="M290" i="36"/>
  <c r="N290" i="36"/>
  <c r="O290" i="36"/>
  <c r="P290" i="36"/>
  <c r="P275" i="36" s="1"/>
  <c r="P274" i="36" s="1"/>
  <c r="I290" i="36"/>
  <c r="J290" i="36"/>
  <c r="K290" i="36"/>
  <c r="H290" i="36"/>
  <c r="H275" i="36"/>
  <c r="H458" i="36"/>
  <c r="H457" i="36" s="1"/>
  <c r="I458" i="36"/>
  <c r="I457" i="36" s="1"/>
  <c r="J458" i="36"/>
  <c r="J457" i="36" s="1"/>
  <c r="K458" i="36"/>
  <c r="K457" i="36" s="1"/>
  <c r="L458" i="36"/>
  <c r="L457" i="36" s="1"/>
  <c r="M458" i="36"/>
  <c r="M457" i="36" s="1"/>
  <c r="N458" i="36"/>
  <c r="N457" i="36" s="1"/>
  <c r="O458" i="36"/>
  <c r="O457" i="36" s="1"/>
  <c r="P458" i="36"/>
  <c r="P457" i="36" s="1"/>
  <c r="Q459" i="36"/>
  <c r="H188" i="36"/>
  <c r="I188" i="36"/>
  <c r="J188" i="36"/>
  <c r="K188" i="36"/>
  <c r="L188" i="36"/>
  <c r="M188" i="36"/>
  <c r="N188" i="36"/>
  <c r="O192" i="36"/>
  <c r="Q192" i="36"/>
  <c r="L295" i="36"/>
  <c r="L296" i="36"/>
  <c r="I486" i="36"/>
  <c r="J486" i="36"/>
  <c r="K486" i="36"/>
  <c r="L486" i="36"/>
  <c r="M486" i="36"/>
  <c r="N486" i="36"/>
  <c r="P486" i="36"/>
  <c r="H486" i="36"/>
  <c r="P440" i="36"/>
  <c r="L378" i="36"/>
  <c r="K19" i="36"/>
  <c r="M19" i="36"/>
  <c r="N19" i="36"/>
  <c r="P19" i="36"/>
  <c r="H389" i="36"/>
  <c r="I389" i="36"/>
  <c r="J389" i="36"/>
  <c r="K389" i="36"/>
  <c r="L389" i="36"/>
  <c r="M389" i="36"/>
  <c r="N389" i="36"/>
  <c r="P389" i="36"/>
  <c r="O403" i="36"/>
  <c r="P403" i="36"/>
  <c r="M403" i="36"/>
  <c r="N403" i="36"/>
  <c r="L403" i="36"/>
  <c r="Q404" i="36" s="1"/>
  <c r="K403" i="36"/>
  <c r="I403" i="36"/>
  <c r="J403" i="36"/>
  <c r="H403" i="36"/>
  <c r="A21" i="36"/>
  <c r="O287" i="36"/>
  <c r="O288" i="36"/>
  <c r="O289" i="36"/>
  <c r="O280" i="36"/>
  <c r="O281" i="36"/>
  <c r="O282" i="36"/>
  <c r="O285" i="36"/>
  <c r="O286" i="36"/>
  <c r="O279" i="36"/>
  <c r="O283" i="36"/>
  <c r="O284" i="36"/>
  <c r="O276" i="36"/>
  <c r="O278" i="36"/>
  <c r="O277" i="36"/>
  <c r="O349" i="36"/>
  <c r="Q349" i="36"/>
  <c r="H354" i="36"/>
  <c r="P476" i="36" l="1"/>
  <c r="L476" i="36"/>
  <c r="M476" i="36"/>
  <c r="I476" i="36"/>
  <c r="N476" i="36"/>
  <c r="J476" i="36"/>
  <c r="O476" i="36"/>
  <c r="K476" i="36"/>
  <c r="H476" i="36"/>
  <c r="Q292" i="36"/>
  <c r="O275" i="36"/>
  <c r="O274" i="36" s="1"/>
  <c r="M274" i="36"/>
  <c r="N274" i="36"/>
  <c r="Q291" i="36"/>
  <c r="I274" i="36"/>
  <c r="K274" i="36"/>
  <c r="L290" i="36"/>
  <c r="H274" i="36"/>
  <c r="Q433" i="36"/>
  <c r="O433" i="36"/>
  <c r="L274" i="36" l="1"/>
  <c r="I375" i="36"/>
  <c r="J375" i="36"/>
  <c r="K375" i="36"/>
  <c r="L375" i="36"/>
  <c r="M375" i="36"/>
  <c r="N375" i="36"/>
  <c r="P375" i="36"/>
  <c r="H375" i="36"/>
  <c r="Q376" i="36"/>
  <c r="O376" i="36"/>
  <c r="O375" i="36" s="1"/>
  <c r="A22" i="36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A89" i="36" s="1"/>
  <c r="A90" i="36" s="1"/>
  <c r="A91" i="36" s="1"/>
  <c r="A92" i="36" s="1"/>
  <c r="A93" i="36" s="1"/>
  <c r="A94" i="36" s="1"/>
  <c r="A95" i="36" s="1"/>
  <c r="A96" i="36" s="1"/>
  <c r="A97" i="36" s="1"/>
  <c r="A98" i="36" s="1"/>
  <c r="A99" i="36" s="1"/>
  <c r="A100" i="36" s="1"/>
  <c r="A101" i="36" s="1"/>
  <c r="A102" i="36" s="1"/>
  <c r="A103" i="36" s="1"/>
  <c r="A104" i="36" s="1"/>
  <c r="A105" i="36" s="1"/>
  <c r="A106" i="36" s="1"/>
  <c r="A107" i="36" s="1"/>
  <c r="A108" i="36" s="1"/>
  <c r="A109" i="36" s="1"/>
  <c r="A110" i="36" s="1"/>
  <c r="A111" i="36" s="1"/>
  <c r="A112" i="36" s="1"/>
  <c r="A113" i="36" s="1"/>
  <c r="A114" i="36" s="1"/>
  <c r="A115" i="36" s="1"/>
  <c r="A116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2" i="36" s="1"/>
  <c r="A133" i="36" s="1"/>
  <c r="A134" i="36" s="1"/>
  <c r="A135" i="36" s="1"/>
  <c r="A136" i="36" s="1"/>
  <c r="A137" i="36" s="1"/>
  <c r="A138" i="36" s="1"/>
  <c r="A139" i="36" s="1"/>
  <c r="A140" i="36" s="1"/>
  <c r="A141" i="36" s="1"/>
  <c r="A142" i="36" s="1"/>
  <c r="A143" i="36" s="1"/>
  <c r="A144" i="36" s="1"/>
  <c r="A145" i="36" s="1"/>
  <c r="A146" i="36" s="1"/>
  <c r="A147" i="36" s="1"/>
  <c r="A148" i="36" s="1"/>
  <c r="A149" i="36" s="1"/>
  <c r="A150" i="36" s="1"/>
  <c r="A151" i="36" s="1"/>
  <c r="A152" i="36" s="1"/>
  <c r="A153" i="36" s="1"/>
  <c r="A154" i="36" s="1"/>
  <c r="A155" i="36" s="1"/>
  <c r="A156" i="36" s="1"/>
  <c r="A157" i="36" s="1"/>
  <c r="A158" i="36" s="1"/>
  <c r="A159" i="36" s="1"/>
  <c r="A160" i="36" s="1"/>
  <c r="A161" i="36" s="1"/>
  <c r="A162" i="36" s="1"/>
  <c r="A163" i="36" s="1"/>
  <c r="A164" i="36" s="1"/>
  <c r="A165" i="36" s="1"/>
  <c r="A166" i="36" s="1"/>
  <c r="A167" i="36" s="1"/>
  <c r="A168" i="36" s="1"/>
  <c r="A169" i="36" s="1"/>
  <c r="A170" i="36" s="1"/>
  <c r="A171" i="36" s="1"/>
  <c r="A172" i="36" s="1"/>
  <c r="A173" i="36" s="1"/>
  <c r="A174" i="36" s="1"/>
  <c r="A175" i="36" s="1"/>
  <c r="A176" i="36" s="1"/>
  <c r="A177" i="36" s="1"/>
  <c r="A178" i="36" s="1"/>
  <c r="A179" i="36" s="1"/>
  <c r="A180" i="36" s="1"/>
  <c r="A181" i="36" s="1"/>
  <c r="A182" i="36" s="1"/>
  <c r="A183" i="36" s="1"/>
  <c r="A184" i="36" s="1"/>
  <c r="A185" i="36" s="1"/>
  <c r="A186" i="36" s="1"/>
  <c r="A187" i="36" s="1"/>
  <c r="A189" i="36" s="1"/>
  <c r="H437" i="36"/>
  <c r="J199" i="36"/>
  <c r="H199" i="36"/>
  <c r="Q221" i="36"/>
  <c r="Q217" i="36"/>
  <c r="O217" i="36"/>
  <c r="Q186" i="36"/>
  <c r="Q28" i="36"/>
  <c r="Q69" i="36"/>
  <c r="Q43" i="36"/>
  <c r="Q89" i="36"/>
  <c r="Q83" i="36"/>
  <c r="Q154" i="36"/>
  <c r="Q166" i="36"/>
  <c r="Q123" i="36"/>
  <c r="Q160" i="36"/>
  <c r="Q156" i="36"/>
  <c r="Q168" i="36"/>
  <c r="Q109" i="36"/>
  <c r="Q94" i="36"/>
  <c r="Q35" i="36"/>
  <c r="Q56" i="36"/>
  <c r="Q38" i="36"/>
  <c r="Q153" i="36"/>
  <c r="Q131" i="36"/>
  <c r="Q133" i="36"/>
  <c r="Q149" i="36"/>
  <c r="Q91" i="36"/>
  <c r="Q42" i="36"/>
  <c r="Q70" i="36"/>
  <c r="Q184" i="36"/>
  <c r="Q127" i="36"/>
  <c r="Q108" i="36"/>
  <c r="Q47" i="36"/>
  <c r="Q178" i="36"/>
  <c r="Q128" i="36"/>
  <c r="Q117" i="36"/>
  <c r="Q143" i="36"/>
  <c r="Q79" i="36"/>
  <c r="Q71" i="36"/>
  <c r="Q115" i="36"/>
  <c r="Q187" i="36"/>
  <c r="Q48" i="36"/>
  <c r="Q34" i="36"/>
  <c r="Q119" i="36"/>
  <c r="Q136" i="36"/>
  <c r="Q82" i="36"/>
  <c r="Q141" i="36"/>
  <c r="Q37" i="36"/>
  <c r="Q164" i="36"/>
  <c r="Q173" i="36"/>
  <c r="Q100" i="36"/>
  <c r="Q142" i="36"/>
  <c r="Q52" i="36"/>
  <c r="Q140" i="36"/>
  <c r="Q76" i="36"/>
  <c r="Q146" i="36"/>
  <c r="Q92" i="36"/>
  <c r="Q135" i="36"/>
  <c r="Q87" i="36"/>
  <c r="Q39" i="36"/>
  <c r="Q174" i="36"/>
  <c r="Q90" i="36"/>
  <c r="Q148" i="36"/>
  <c r="Q75" i="36"/>
  <c r="Q180" i="36"/>
  <c r="Q152" i="36"/>
  <c r="Q134" i="36"/>
  <c r="Q65" i="36"/>
  <c r="Q120" i="36"/>
  <c r="Q112" i="36"/>
  <c r="Q138" i="36"/>
  <c r="Q78" i="36"/>
  <c r="Q73" i="36"/>
  <c r="Q32" i="36"/>
  <c r="Q129" i="36"/>
  <c r="Q62" i="36"/>
  <c r="Q147" i="36"/>
  <c r="Q163" i="36"/>
  <c r="Q84" i="36"/>
  <c r="Q155" i="36"/>
  <c r="Q74" i="36"/>
  <c r="Q49" i="36"/>
  <c r="Q99" i="36"/>
  <c r="Q150" i="36"/>
  <c r="Q72" i="36"/>
  <c r="Q169" i="36"/>
  <c r="Q122" i="36"/>
  <c r="Q95" i="36"/>
  <c r="Q183" i="36"/>
  <c r="Q177" i="36"/>
  <c r="Q171" i="36"/>
  <c r="Q159" i="36"/>
  <c r="Q110" i="36"/>
  <c r="Q101" i="36"/>
  <c r="Q179" i="36"/>
  <c r="Q145" i="36"/>
  <c r="Q137" i="36"/>
  <c r="Q98" i="36"/>
  <c r="Q158" i="36"/>
  <c r="Q63" i="36"/>
  <c r="Q25" i="36"/>
  <c r="Q185" i="36"/>
  <c r="Q59" i="36"/>
  <c r="Q67" i="36"/>
  <c r="Q139" i="36"/>
  <c r="Q41" i="36"/>
  <c r="Q170" i="36"/>
  <c r="Q103" i="36"/>
  <c r="Q57" i="36"/>
  <c r="Q85" i="36"/>
  <c r="Q60" i="36"/>
  <c r="Q80" i="36"/>
  <c r="Q118" i="36"/>
  <c r="Q53" i="36"/>
  <c r="Q86" i="36"/>
  <c r="Q181" i="36"/>
  <c r="Q33" i="36"/>
  <c r="Q104" i="36"/>
  <c r="Q23" i="36"/>
  <c r="Q88" i="36"/>
  <c r="Q121" i="36"/>
  <c r="Q66" i="36"/>
  <c r="Q46" i="36"/>
  <c r="Q24" i="36"/>
  <c r="Q97" i="36"/>
  <c r="Q27" i="36"/>
  <c r="Q182" i="36"/>
  <c r="Q162" i="36"/>
  <c r="Q54" i="36"/>
  <c r="Q61" i="36"/>
  <c r="Q58" i="36"/>
  <c r="Q161" i="36"/>
  <c r="Q20" i="36"/>
  <c r="Q111" i="36"/>
  <c r="Q126" i="36"/>
  <c r="Q106" i="36"/>
  <c r="Q151" i="36"/>
  <c r="Q172" i="36"/>
  <c r="Q130" i="36"/>
  <c r="Q157" i="36"/>
  <c r="Q116" i="36"/>
  <c r="Q50" i="36"/>
  <c r="Q176" i="36"/>
  <c r="Q30" i="36"/>
  <c r="Q165" i="36"/>
  <c r="Q64" i="36"/>
  <c r="Q21" i="36"/>
  <c r="Q44" i="36"/>
  <c r="Q175" i="36"/>
  <c r="Q68" i="36"/>
  <c r="Q51" i="36"/>
  <c r="Q29" i="36"/>
  <c r="Q102" i="36"/>
  <c r="Q40" i="36"/>
  <c r="Q45" i="36"/>
  <c r="Q77" i="36"/>
  <c r="Q125" i="36"/>
  <c r="Q124" i="36"/>
  <c r="Q26" i="36"/>
  <c r="Q36" i="36"/>
  <c r="Q107" i="36"/>
  <c r="Q81" i="36"/>
  <c r="Q144" i="36"/>
  <c r="Q55" i="36"/>
  <c r="Q113" i="36"/>
  <c r="Q105" i="36"/>
  <c r="O186" i="36"/>
  <c r="O28" i="36"/>
  <c r="O69" i="36"/>
  <c r="O43" i="36"/>
  <c r="O89" i="36"/>
  <c r="O167" i="36"/>
  <c r="O83" i="36"/>
  <c r="O154" i="36"/>
  <c r="O166" i="36"/>
  <c r="O123" i="36"/>
  <c r="O160" i="36"/>
  <c r="O156" i="36"/>
  <c r="O168" i="36"/>
  <c r="O109" i="36"/>
  <c r="O94" i="36"/>
  <c r="O35" i="36"/>
  <c r="O56" i="36"/>
  <c r="O38" i="36"/>
  <c r="O153" i="36"/>
  <c r="O131" i="36"/>
  <c r="O133" i="36"/>
  <c r="O149" i="36"/>
  <c r="O91" i="36"/>
  <c r="O42" i="36"/>
  <c r="O70" i="36"/>
  <c r="O184" i="36"/>
  <c r="O127" i="36"/>
  <c r="O108" i="36"/>
  <c r="O47" i="36"/>
  <c r="O178" i="36"/>
  <c r="O128" i="36"/>
  <c r="O117" i="36"/>
  <c r="O143" i="36"/>
  <c r="O79" i="36"/>
  <c r="O71" i="36"/>
  <c r="O115" i="36"/>
  <c r="O187" i="36"/>
  <c r="O48" i="36"/>
  <c r="O34" i="36"/>
  <c r="O119" i="36"/>
  <c r="O136" i="36"/>
  <c r="O82" i="36"/>
  <c r="O141" i="36"/>
  <c r="O37" i="36"/>
  <c r="O164" i="36"/>
  <c r="O173" i="36"/>
  <c r="O100" i="36"/>
  <c r="O142" i="36"/>
  <c r="O52" i="36"/>
  <c r="O140" i="36"/>
  <c r="O76" i="36"/>
  <c r="O146" i="36"/>
  <c r="O92" i="36"/>
  <c r="O135" i="36"/>
  <c r="O87" i="36"/>
  <c r="O39" i="36"/>
  <c r="O174" i="36"/>
  <c r="O90" i="36"/>
  <c r="O148" i="36"/>
  <c r="O75" i="36"/>
  <c r="O180" i="36"/>
  <c r="O152" i="36"/>
  <c r="O134" i="36"/>
  <c r="O65" i="36"/>
  <c r="O120" i="36"/>
  <c r="O112" i="36"/>
  <c r="O138" i="36"/>
  <c r="O78" i="36"/>
  <c r="O73" i="36"/>
  <c r="O32" i="36"/>
  <c r="O129" i="36"/>
  <c r="O62" i="36"/>
  <c r="O147" i="36"/>
  <c r="O163" i="36"/>
  <c r="O84" i="36"/>
  <c r="O155" i="36"/>
  <c r="O74" i="36"/>
  <c r="O49" i="36"/>
  <c r="O99" i="36"/>
  <c r="O150" i="36"/>
  <c r="O72" i="36"/>
  <c r="O169" i="36"/>
  <c r="O122" i="36"/>
  <c r="O95" i="36"/>
  <c r="O183" i="36"/>
  <c r="O177" i="36"/>
  <c r="O171" i="36"/>
  <c r="O159" i="36"/>
  <c r="O110" i="36"/>
  <c r="O101" i="36"/>
  <c r="O179" i="36"/>
  <c r="O145" i="36"/>
  <c r="O114" i="36"/>
  <c r="O137" i="36"/>
  <c r="O98" i="36"/>
  <c r="O158" i="36"/>
  <c r="O63" i="36"/>
  <c r="O25" i="36"/>
  <c r="O185" i="36"/>
  <c r="O59" i="36"/>
  <c r="O67" i="36"/>
  <c r="O31" i="36"/>
  <c r="O139" i="36"/>
  <c r="O41" i="36"/>
  <c r="O132" i="36"/>
  <c r="O170" i="36"/>
  <c r="O103" i="36"/>
  <c r="O57" i="36"/>
  <c r="O85" i="36"/>
  <c r="O60" i="36"/>
  <c r="O80" i="36"/>
  <c r="O118" i="36"/>
  <c r="O53" i="36"/>
  <c r="O86" i="36"/>
  <c r="O181" i="36"/>
  <c r="O33" i="36"/>
  <c r="O104" i="36"/>
  <c r="O23" i="36"/>
  <c r="O88" i="36"/>
  <c r="O22" i="36"/>
  <c r="O121" i="36"/>
  <c r="O66" i="36"/>
  <c r="O46" i="36"/>
  <c r="O24" i="36"/>
  <c r="O97" i="36"/>
  <c r="O27" i="36"/>
  <c r="O182" i="36"/>
  <c r="O162" i="36"/>
  <c r="O54" i="36"/>
  <c r="O61" i="36"/>
  <c r="O58" i="36"/>
  <c r="O161" i="36"/>
  <c r="O20" i="36"/>
  <c r="O111" i="36"/>
  <c r="O126" i="36"/>
  <c r="O106" i="36"/>
  <c r="O151" i="36"/>
  <c r="O172" i="36"/>
  <c r="O130" i="36"/>
  <c r="O157" i="36"/>
  <c r="O116" i="36"/>
  <c r="O50" i="36"/>
  <c r="O176" i="36"/>
  <c r="O96" i="36"/>
  <c r="O30" i="36"/>
  <c r="O165" i="36"/>
  <c r="O64" i="36"/>
  <c r="O21" i="36"/>
  <c r="O44" i="36"/>
  <c r="O175" i="36"/>
  <c r="O68" i="36"/>
  <c r="O51" i="36"/>
  <c r="O29" i="36"/>
  <c r="O102" i="36"/>
  <c r="O40" i="36"/>
  <c r="O93" i="36"/>
  <c r="O45" i="36"/>
  <c r="O77" i="36"/>
  <c r="O125" i="36"/>
  <c r="O124" i="36"/>
  <c r="O26" i="36"/>
  <c r="O36" i="36"/>
  <c r="O107" i="36"/>
  <c r="O81" i="36"/>
  <c r="O144" i="36"/>
  <c r="O55" i="36"/>
  <c r="O113" i="36"/>
  <c r="O105" i="36"/>
  <c r="K370" i="36"/>
  <c r="H370" i="36"/>
  <c r="J113" i="36"/>
  <c r="J55" i="36"/>
  <c r="J144" i="36"/>
  <c r="J26" i="36"/>
  <c r="J124" i="36"/>
  <c r="J77" i="36"/>
  <c r="H77" i="36"/>
  <c r="J45" i="36"/>
  <c r="J93" i="36"/>
  <c r="I93" i="36"/>
  <c r="J40" i="36"/>
  <c r="J102" i="36"/>
  <c r="J51" i="36"/>
  <c r="J68" i="36"/>
  <c r="J175" i="36"/>
  <c r="J44" i="36"/>
  <c r="J21" i="36"/>
  <c r="J64" i="36"/>
  <c r="I96" i="36"/>
  <c r="J176" i="36"/>
  <c r="J50" i="36"/>
  <c r="J116" i="36"/>
  <c r="H157" i="36"/>
  <c r="J130" i="36"/>
  <c r="J172" i="36"/>
  <c r="J151" i="36"/>
  <c r="J106" i="36"/>
  <c r="J126" i="36"/>
  <c r="J111" i="36"/>
  <c r="J161" i="36"/>
  <c r="J58" i="36"/>
  <c r="J54" i="36"/>
  <c r="J182" i="36"/>
  <c r="J27" i="36"/>
  <c r="H27" i="36"/>
  <c r="J97" i="36"/>
  <c r="J24" i="36"/>
  <c r="J46" i="36"/>
  <c r="J66" i="36"/>
  <c r="J22" i="36"/>
  <c r="I22" i="36"/>
  <c r="J88" i="36"/>
  <c r="J23" i="36"/>
  <c r="J33" i="36"/>
  <c r="J86" i="36"/>
  <c r="J53" i="36"/>
  <c r="J118" i="36"/>
  <c r="J80" i="36"/>
  <c r="J57" i="36"/>
  <c r="J103" i="36"/>
  <c r="J170" i="36"/>
  <c r="I132" i="36"/>
  <c r="J41" i="36"/>
  <c r="J31" i="36"/>
  <c r="I31" i="36"/>
  <c r="H31" i="36"/>
  <c r="J67" i="36"/>
  <c r="J59" i="36"/>
  <c r="J185" i="36"/>
  <c r="J25" i="36"/>
  <c r="H158" i="36"/>
  <c r="J98" i="36"/>
  <c r="H98" i="36"/>
  <c r="J114" i="36"/>
  <c r="I114" i="36"/>
  <c r="H114" i="36"/>
  <c r="J145" i="36"/>
  <c r="J179" i="36"/>
  <c r="J101" i="36"/>
  <c r="H101" i="36"/>
  <c r="J159" i="36"/>
  <c r="J183" i="36"/>
  <c r="J95" i="36"/>
  <c r="H95" i="36"/>
  <c r="J122" i="36"/>
  <c r="J169" i="36"/>
  <c r="J99" i="36"/>
  <c r="J49" i="36"/>
  <c r="J155" i="36"/>
  <c r="J84" i="36"/>
  <c r="J147" i="36"/>
  <c r="J62" i="36"/>
  <c r="J32" i="36"/>
  <c r="J78" i="36"/>
  <c r="J138" i="36"/>
  <c r="J112" i="36"/>
  <c r="J65" i="36"/>
  <c r="H65" i="36"/>
  <c r="J152" i="36"/>
  <c r="J180" i="36"/>
  <c r="J148" i="36"/>
  <c r="H148" i="36"/>
  <c r="J39" i="36"/>
  <c r="J87" i="36"/>
  <c r="J135" i="36"/>
  <c r="J92" i="36"/>
  <c r="J52" i="36"/>
  <c r="J142" i="36"/>
  <c r="J100" i="36"/>
  <c r="J173" i="36"/>
  <c r="J164" i="36"/>
  <c r="J141" i="36"/>
  <c r="J82" i="36"/>
  <c r="J136" i="36"/>
  <c r="J119" i="36"/>
  <c r="J34" i="36"/>
  <c r="J48" i="36"/>
  <c r="J187" i="36"/>
  <c r="J79" i="36"/>
  <c r="J117" i="36"/>
  <c r="J128" i="36"/>
  <c r="J178" i="36"/>
  <c r="H178" i="36"/>
  <c r="J47" i="36"/>
  <c r="J108" i="36"/>
  <c r="J127" i="36"/>
  <c r="J184" i="36"/>
  <c r="J70" i="36"/>
  <c r="J149" i="36"/>
  <c r="J131" i="36"/>
  <c r="H131" i="36"/>
  <c r="J35" i="36"/>
  <c r="J94" i="36"/>
  <c r="J109" i="36"/>
  <c r="J156" i="36"/>
  <c r="J160" i="36"/>
  <c r="J166" i="36"/>
  <c r="J154" i="36"/>
  <c r="J83" i="36"/>
  <c r="J167" i="36"/>
  <c r="I167" i="36"/>
  <c r="J43" i="36"/>
  <c r="H43" i="36"/>
  <c r="J69" i="36"/>
  <c r="J186" i="36"/>
  <c r="Q96" i="36" l="1"/>
  <c r="Q132" i="36"/>
  <c r="Q114" i="36"/>
  <c r="Q22" i="36"/>
  <c r="Q31" i="36"/>
  <c r="Q93" i="36"/>
  <c r="H19" i="36"/>
  <c r="O19" i="36"/>
  <c r="J19" i="36"/>
  <c r="I19" i="36"/>
  <c r="Q167" i="36"/>
  <c r="A190" i="36" l="1"/>
  <c r="A191" i="36" s="1"/>
  <c r="A192" i="36" s="1"/>
  <c r="A193" i="36" s="1"/>
  <c r="A194" i="36" s="1"/>
  <c r="A195" i="36" s="1"/>
  <c r="A196" i="36" s="1"/>
  <c r="A198" i="36" s="1"/>
  <c r="I336" i="36"/>
  <c r="J336" i="36"/>
  <c r="K336" i="36"/>
  <c r="L336" i="36"/>
  <c r="M336" i="36"/>
  <c r="N336" i="36"/>
  <c r="P336" i="36"/>
  <c r="H336" i="36"/>
  <c r="Q337" i="36"/>
  <c r="O337" i="36"/>
  <c r="O336" i="36" s="1"/>
  <c r="K333" i="36"/>
  <c r="I333" i="36"/>
  <c r="J333" i="36"/>
  <c r="L333" i="36"/>
  <c r="M333" i="36"/>
  <c r="N333" i="36"/>
  <c r="O333" i="36"/>
  <c r="P333" i="36"/>
  <c r="H333" i="36"/>
  <c r="Q335" i="36"/>
  <c r="Q332" i="36"/>
  <c r="Q334" i="36"/>
  <c r="A200" i="36" l="1"/>
  <c r="A201" i="36" s="1"/>
  <c r="A202" i="36" s="1"/>
  <c r="A203" i="36" s="1"/>
  <c r="A204" i="36" s="1"/>
  <c r="A205" i="36" s="1"/>
  <c r="A206" i="36" s="1"/>
  <c r="A207" i="36" s="1"/>
  <c r="A208" i="36" s="1"/>
  <c r="A209" i="36" s="1"/>
  <c r="A210" i="36" s="1"/>
  <c r="A211" i="36" s="1"/>
  <c r="A212" i="36" s="1"/>
  <c r="A213" i="36" s="1"/>
  <c r="A214" i="36" s="1"/>
  <c r="A215" i="36" s="1"/>
  <c r="A216" i="36" s="1"/>
  <c r="A217" i="36" s="1"/>
  <c r="A218" i="36" s="1"/>
  <c r="A219" i="36" s="1"/>
  <c r="A220" i="36" s="1"/>
  <c r="A221" i="36" s="1"/>
  <c r="A222" i="36" s="1"/>
  <c r="A223" i="36" s="1"/>
  <c r="A224" i="36" s="1"/>
  <c r="A226" i="36" s="1"/>
  <c r="A227" i="36" l="1"/>
  <c r="A228" i="36" s="1"/>
  <c r="A229" i="36" s="1"/>
  <c r="A230" i="36" s="1"/>
  <c r="A231" i="36" s="1"/>
  <c r="A232" i="36" s="1"/>
  <c r="A233" i="36" s="1"/>
  <c r="A234" i="36" s="1"/>
  <c r="A235" i="36" s="1"/>
  <c r="A236" i="36" s="1"/>
  <c r="A237" i="36" s="1"/>
  <c r="A239" i="36" s="1"/>
  <c r="Q390" i="36"/>
  <c r="O390" i="36"/>
  <c r="O389" i="36" s="1"/>
  <c r="A240" i="36" l="1"/>
  <c r="A241" i="36" s="1"/>
  <c r="A242" i="36" s="1"/>
  <c r="A243" i="36" s="1"/>
  <c r="A244" i="36" s="1"/>
  <c r="A245" i="36" s="1"/>
  <c r="A246" i="36" s="1"/>
  <c r="A247" i="36" s="1"/>
  <c r="A248" i="36" s="1"/>
  <c r="A249" i="36" s="1"/>
  <c r="A250" i="36" s="1"/>
  <c r="A251" i="36" s="1"/>
  <c r="A252" i="36" s="1"/>
  <c r="A253" i="36" s="1"/>
  <c r="A254" i="36" s="1"/>
  <c r="A257" i="36" s="1"/>
  <c r="I421" i="36"/>
  <c r="J421" i="36"/>
  <c r="K421" i="36"/>
  <c r="L421" i="36"/>
  <c r="M421" i="36"/>
  <c r="P421" i="36"/>
  <c r="O431" i="36"/>
  <c r="O430" i="36"/>
  <c r="O427" i="36"/>
  <c r="O424" i="36"/>
  <c r="O422" i="36"/>
  <c r="O429" i="36"/>
  <c r="O428" i="36"/>
  <c r="O426" i="36"/>
  <c r="O425" i="36"/>
  <c r="O423" i="36"/>
  <c r="A258" i="36" l="1"/>
  <c r="A259" i="36" s="1"/>
  <c r="A260" i="36" s="1"/>
  <c r="A261" i="36" s="1"/>
  <c r="A262" i="36" s="1"/>
  <c r="A263" i="36" s="1"/>
  <c r="A266" i="36" s="1"/>
  <c r="O421" i="36"/>
  <c r="I338" i="36"/>
  <c r="J338" i="36"/>
  <c r="K338" i="36"/>
  <c r="M338" i="36"/>
  <c r="N338" i="36"/>
  <c r="O338" i="36"/>
  <c r="P338" i="36"/>
  <c r="H338" i="36"/>
  <c r="L339" i="36"/>
  <c r="Q340" i="36"/>
  <c r="I370" i="36"/>
  <c r="J370" i="36"/>
  <c r="L370" i="36"/>
  <c r="M370" i="36"/>
  <c r="N370" i="36"/>
  <c r="P370" i="36"/>
  <c r="Q372" i="36"/>
  <c r="Q371" i="36"/>
  <c r="O372" i="36"/>
  <c r="O371" i="36"/>
  <c r="L338" i="36" l="1"/>
  <c r="L369" i="36"/>
  <c r="Q339" i="36"/>
  <c r="A267" i="36"/>
  <c r="A268" i="36" s="1"/>
  <c r="A269" i="36" s="1"/>
  <c r="A270" i="36" s="1"/>
  <c r="A273" i="36" s="1"/>
  <c r="O370" i="36"/>
  <c r="I405" i="36"/>
  <c r="J405" i="36"/>
  <c r="K405" i="36"/>
  <c r="L405" i="36"/>
  <c r="M405" i="36"/>
  <c r="N405" i="36"/>
  <c r="O405" i="36"/>
  <c r="P405" i="36"/>
  <c r="H405" i="36"/>
  <c r="Q409" i="36"/>
  <c r="Q408" i="36"/>
  <c r="Q407" i="36"/>
  <c r="Q406" i="36"/>
  <c r="K394" i="36"/>
  <c r="I394" i="36"/>
  <c r="J394" i="36"/>
  <c r="L394" i="36"/>
  <c r="M394" i="36"/>
  <c r="N394" i="36"/>
  <c r="O394" i="36"/>
  <c r="P394" i="36"/>
  <c r="H394" i="36"/>
  <c r="Q395" i="36"/>
  <c r="Q398" i="36"/>
  <c r="Q397" i="36"/>
  <c r="Q396" i="36"/>
  <c r="Q400" i="36"/>
  <c r="Q399" i="36"/>
  <c r="M437" i="36"/>
  <c r="N437" i="36"/>
  <c r="P437" i="36"/>
  <c r="L437" i="36"/>
  <c r="K437" i="36"/>
  <c r="J437" i="36"/>
  <c r="I437" i="36"/>
  <c r="Q439" i="36"/>
  <c r="O439" i="36"/>
  <c r="K330" i="36"/>
  <c r="K329" i="36" s="1"/>
  <c r="I330" i="36"/>
  <c r="I329" i="36" s="1"/>
  <c r="J330" i="36"/>
  <c r="J329" i="36" s="1"/>
  <c r="L330" i="36"/>
  <c r="M330" i="36"/>
  <c r="M329" i="36" s="1"/>
  <c r="N330" i="36"/>
  <c r="N329" i="36" s="1"/>
  <c r="P330" i="36"/>
  <c r="P329" i="36" s="1"/>
  <c r="H330" i="36"/>
  <c r="H329" i="36" s="1"/>
  <c r="O332" i="36"/>
  <c r="L329" i="36" l="1"/>
  <c r="A276" i="36"/>
  <c r="L499" i="36"/>
  <c r="N501" i="36"/>
  <c r="P501" i="36"/>
  <c r="M501" i="36"/>
  <c r="L501" i="36"/>
  <c r="K501" i="36"/>
  <c r="J501" i="36"/>
  <c r="I501" i="36"/>
  <c r="H501" i="36"/>
  <c r="Q502" i="36"/>
  <c r="O502" i="36"/>
  <c r="O501" i="36" s="1"/>
  <c r="A277" i="36" l="1"/>
  <c r="A278" i="36" s="1"/>
  <c r="A279" i="36" s="1"/>
  <c r="A280" i="36" s="1"/>
  <c r="A281" i="36" s="1"/>
  <c r="A282" i="36" s="1"/>
  <c r="A283" i="36" s="1"/>
  <c r="A284" i="36" s="1"/>
  <c r="A285" i="36" s="1"/>
  <c r="A286" i="36" s="1"/>
  <c r="A287" i="36" s="1"/>
  <c r="A288" i="36" s="1"/>
  <c r="A289" i="36" s="1"/>
  <c r="A291" i="36" s="1"/>
  <c r="A292" i="36" s="1"/>
  <c r="A295" i="36" s="1"/>
  <c r="L498" i="36"/>
  <c r="Q311" i="36"/>
  <c r="N311" i="36"/>
  <c r="A296" i="36" l="1"/>
  <c r="A299" i="36" s="1"/>
  <c r="A300" i="36" s="1"/>
  <c r="A301" i="36" s="1"/>
  <c r="A303" i="36" s="1"/>
  <c r="J286" i="36"/>
  <c r="J275" i="36" s="1"/>
  <c r="J274" i="36" s="1"/>
  <c r="A304" i="36" l="1"/>
  <c r="A306" i="36" s="1"/>
  <c r="A308" i="36" s="1"/>
  <c r="A309" i="36" l="1"/>
  <c r="A311" i="36" s="1"/>
  <c r="A314" i="36" s="1"/>
  <c r="A315" i="36" l="1"/>
  <c r="A318" i="36" s="1"/>
  <c r="A319" i="36" l="1"/>
  <c r="A320" i="36" s="1"/>
  <c r="A321" i="36" s="1"/>
  <c r="A324" i="36" s="1"/>
  <c r="I354" i="36"/>
  <c r="J354" i="36"/>
  <c r="K354" i="36"/>
  <c r="L354" i="36"/>
  <c r="M354" i="36"/>
  <c r="N354" i="36"/>
  <c r="P354" i="36"/>
  <c r="H353" i="36"/>
  <c r="O356" i="36"/>
  <c r="Q356" i="36"/>
  <c r="O357" i="36"/>
  <c r="Q357" i="36"/>
  <c r="O360" i="36"/>
  <c r="Q360" i="36"/>
  <c r="O361" i="36"/>
  <c r="Q361" i="36"/>
  <c r="O362" i="36"/>
  <c r="Q362" i="36"/>
  <c r="O363" i="36"/>
  <c r="Q363" i="36"/>
  <c r="O364" i="36"/>
  <c r="Q364" i="36"/>
  <c r="O355" i="36"/>
  <c r="Q355" i="36"/>
  <c r="O365" i="36"/>
  <c r="Q365" i="36"/>
  <c r="O367" i="36"/>
  <c r="Q367" i="36"/>
  <c r="O359" i="36"/>
  <c r="Q359" i="36"/>
  <c r="A325" i="36" l="1"/>
  <c r="A326" i="36" s="1"/>
  <c r="A328" i="36" s="1"/>
  <c r="A331" i="36" s="1"/>
  <c r="Q193" i="36"/>
  <c r="Q196" i="36"/>
  <c r="Q189" i="36"/>
  <c r="Q194" i="36"/>
  <c r="Q191" i="36"/>
  <c r="Q190" i="36"/>
  <c r="Q195" i="36"/>
  <c r="A332" i="36" l="1"/>
  <c r="A334" i="36" s="1"/>
  <c r="P225" i="36"/>
  <c r="Q231" i="36"/>
  <c r="Q235" i="36"/>
  <c r="Q228" i="36"/>
  <c r="Q236" i="36"/>
  <c r="Q237" i="36"/>
  <c r="Q229" i="36"/>
  <c r="Q226" i="36"/>
  <c r="Q232" i="36"/>
  <c r="Q233" i="36"/>
  <c r="Q230" i="36"/>
  <c r="Q227" i="36"/>
  <c r="Q234" i="36"/>
  <c r="O231" i="36"/>
  <c r="O235" i="36"/>
  <c r="O228" i="36"/>
  <c r="O236" i="36"/>
  <c r="O237" i="36"/>
  <c r="O229" i="36"/>
  <c r="O226" i="36"/>
  <c r="O232" i="36"/>
  <c r="O233" i="36"/>
  <c r="O230" i="36"/>
  <c r="O227" i="36"/>
  <c r="O234" i="36"/>
  <c r="I225" i="36"/>
  <c r="J225" i="36"/>
  <c r="K225" i="36"/>
  <c r="L225" i="36"/>
  <c r="M225" i="36"/>
  <c r="N225" i="36"/>
  <c r="H225" i="36"/>
  <c r="A335" i="36" l="1"/>
  <c r="A337" i="36" s="1"/>
  <c r="A339" i="36" s="1"/>
  <c r="O225" i="36"/>
  <c r="L323" i="36"/>
  <c r="O266" i="36"/>
  <c r="Q268" i="36"/>
  <c r="Q266" i="36"/>
  <c r="Q269" i="36"/>
  <c r="O268" i="36"/>
  <c r="A340" i="36" l="1"/>
  <c r="A343" i="36" s="1"/>
  <c r="Q198" i="36"/>
  <c r="S420" i="36"/>
  <c r="R420" i="36"/>
  <c r="Q420" i="36"/>
  <c r="Q351" i="36"/>
  <c r="A344" i="36" l="1"/>
  <c r="A345" i="36" s="1"/>
  <c r="A346" i="36" s="1"/>
  <c r="A347" i="36" s="1"/>
  <c r="A348" i="36" s="1"/>
  <c r="A349" i="36" l="1"/>
  <c r="A350" i="36" s="1"/>
  <c r="A351" i="36" s="1"/>
  <c r="A352" i="36" s="1"/>
  <c r="A355" i="36" s="1"/>
  <c r="A356" i="36" s="1"/>
  <c r="A357" i="36" s="1"/>
  <c r="A358" i="36" s="1"/>
  <c r="A359" i="36" s="1"/>
  <c r="A360" i="36" s="1"/>
  <c r="A361" i="36" s="1"/>
  <c r="A362" i="36" s="1"/>
  <c r="A363" i="36" s="1"/>
  <c r="A364" i="36" s="1"/>
  <c r="A365" i="36" s="1"/>
  <c r="A366" i="36" s="1"/>
  <c r="A367" i="36" s="1"/>
  <c r="A368" i="36" s="1"/>
  <c r="A371" i="36" s="1"/>
  <c r="Q462" i="36"/>
  <c r="A372" i="36" l="1"/>
  <c r="A374" i="36" s="1"/>
  <c r="A376" i="36" l="1"/>
  <c r="A379" i="36" s="1"/>
  <c r="I499" i="36"/>
  <c r="I498" i="36" s="1"/>
  <c r="J499" i="36"/>
  <c r="J498" i="36" s="1"/>
  <c r="K499" i="36"/>
  <c r="M499" i="36"/>
  <c r="M498" i="36" s="1"/>
  <c r="N499" i="36"/>
  <c r="N498" i="36" s="1"/>
  <c r="O499" i="36"/>
  <c r="O498" i="36" s="1"/>
  <c r="P499" i="36"/>
  <c r="P498" i="36" s="1"/>
  <c r="H499" i="36"/>
  <c r="Q500" i="36"/>
  <c r="M317" i="36"/>
  <c r="M316" i="36" s="1"/>
  <c r="S519" i="36"/>
  <c r="R519" i="36"/>
  <c r="Q519" i="36"/>
  <c r="L468" i="36"/>
  <c r="K256" i="36"/>
  <c r="H256" i="36"/>
  <c r="L256" i="36"/>
  <c r="Q257" i="36"/>
  <c r="O258" i="36"/>
  <c r="Q258" i="36"/>
  <c r="O257" i="36"/>
  <c r="I256" i="36"/>
  <c r="J256" i="36"/>
  <c r="M256" i="36"/>
  <c r="N256" i="36"/>
  <c r="P256" i="36"/>
  <c r="O256" i="36" l="1"/>
  <c r="A380" i="36"/>
  <c r="A381" i="36" s="1"/>
  <c r="A382" i="36" s="1"/>
  <c r="A383" i="36" s="1"/>
  <c r="A384" i="36" s="1"/>
  <c r="A385" i="36" s="1"/>
  <c r="A386" i="36" s="1"/>
  <c r="A387" i="36" s="1"/>
  <c r="A388" i="36" s="1"/>
  <c r="H255" i="36"/>
  <c r="H498" i="36"/>
  <c r="K498" i="36"/>
  <c r="A390" i="36" l="1"/>
  <c r="A392" i="36" s="1"/>
  <c r="A393" i="36" s="1"/>
  <c r="A395" i="36" l="1"/>
  <c r="A396" i="36" s="1"/>
  <c r="A397" i="36" s="1"/>
  <c r="A398" i="36" s="1"/>
  <c r="A399" i="36" s="1"/>
  <c r="A400" i="36" s="1"/>
  <c r="Q259" i="36"/>
  <c r="I411" i="36"/>
  <c r="I410" i="36" s="1"/>
  <c r="J411" i="36"/>
  <c r="J410" i="36" s="1"/>
  <c r="K411" i="36"/>
  <c r="L411" i="36"/>
  <c r="M411" i="36"/>
  <c r="M410" i="36" s="1"/>
  <c r="N411" i="36"/>
  <c r="N410" i="36" s="1"/>
  <c r="P411" i="36"/>
  <c r="P410" i="36" s="1"/>
  <c r="H411" i="36"/>
  <c r="Q412" i="36"/>
  <c r="Q414" i="36"/>
  <c r="Q413" i="36"/>
  <c r="O412" i="36"/>
  <c r="O414" i="36"/>
  <c r="O413" i="36"/>
  <c r="O195" i="36"/>
  <c r="A402" i="36" l="1"/>
  <c r="A404" i="36" s="1"/>
  <c r="O411" i="36"/>
  <c r="O410" i="36" s="1"/>
  <c r="H410" i="36"/>
  <c r="K410" i="36"/>
  <c r="L410" i="36"/>
  <c r="I298" i="36"/>
  <c r="A406" i="36" l="1"/>
  <c r="A407" i="36" s="1"/>
  <c r="A408" i="36" s="1"/>
  <c r="A409" i="36" s="1"/>
  <c r="A412" i="36" s="1"/>
  <c r="A413" i="36" s="1"/>
  <c r="A414" i="36" s="1"/>
  <c r="A417" i="36" s="1"/>
  <c r="H298" i="36"/>
  <c r="I294" i="36"/>
  <c r="I293" i="36" s="1"/>
  <c r="J294" i="36"/>
  <c r="J293" i="36" s="1"/>
  <c r="K294" i="36"/>
  <c r="M294" i="36"/>
  <c r="M293" i="36" s="1"/>
  <c r="N294" i="36"/>
  <c r="N293" i="36" s="1"/>
  <c r="P294" i="36"/>
  <c r="P293" i="36" s="1"/>
  <c r="H294" i="36"/>
  <c r="Q296" i="36"/>
  <c r="A418" i="36" l="1"/>
  <c r="H293" i="36"/>
  <c r="K293" i="36"/>
  <c r="H441" i="36"/>
  <c r="H440" i="36" s="1"/>
  <c r="Q380" i="36"/>
  <c r="Q381" i="36"/>
  <c r="Q388" i="36"/>
  <c r="Q386" i="36"/>
  <c r="Q379" i="36"/>
  <c r="O380" i="36"/>
  <c r="O381" i="36"/>
  <c r="O388" i="36"/>
  <c r="O386" i="36"/>
  <c r="O379" i="36"/>
  <c r="A419" i="36" l="1"/>
  <c r="A422" i="36" s="1"/>
  <c r="A423" i="36" s="1"/>
  <c r="A424" i="36" s="1"/>
  <c r="A425" i="36" s="1"/>
  <c r="A426" i="36" s="1"/>
  <c r="A427" i="36" s="1"/>
  <c r="A428" i="36" s="1"/>
  <c r="A429" i="36" s="1"/>
  <c r="A430" i="36" s="1"/>
  <c r="A431" i="36" s="1"/>
  <c r="A433" i="36" s="1"/>
  <c r="A435" i="36" s="1"/>
  <c r="A438" i="36" s="1"/>
  <c r="A439" i="36" s="1"/>
  <c r="A442" i="36" s="1"/>
  <c r="A443" i="36" s="1"/>
  <c r="A444" i="36" s="1"/>
  <c r="A445" i="36" s="1"/>
  <c r="A446" i="36" s="1"/>
  <c r="A447" i="36" s="1"/>
  <c r="A448" i="36" s="1"/>
  <c r="A449" i="36" s="1"/>
  <c r="A450" i="36" s="1"/>
  <c r="A453" i="36" s="1"/>
  <c r="A454" i="36" s="1"/>
  <c r="A455" i="36" s="1"/>
  <c r="A456" i="36" s="1"/>
  <c r="A459" i="36" s="1"/>
  <c r="A462" i="36" s="1"/>
  <c r="A465" i="36" s="1"/>
  <c r="A468" i="36" s="1"/>
  <c r="A469" i="36" s="1"/>
  <c r="A472" i="36" s="1"/>
  <c r="I264" i="36"/>
  <c r="J264" i="36"/>
  <c r="K264" i="36"/>
  <c r="M264" i="36"/>
  <c r="N264" i="36"/>
  <c r="P264" i="36"/>
  <c r="O269" i="36"/>
  <c r="O265" i="36" s="1"/>
  <c r="Q453" i="36"/>
  <c r="Q455" i="36"/>
  <c r="Q456" i="36"/>
  <c r="Q454" i="36"/>
  <c r="I452" i="36"/>
  <c r="I451" i="36" s="1"/>
  <c r="J452" i="36"/>
  <c r="J451" i="36" s="1"/>
  <c r="K452" i="36"/>
  <c r="L452" i="36"/>
  <c r="M452" i="36"/>
  <c r="M451" i="36" s="1"/>
  <c r="N452" i="36"/>
  <c r="N451" i="36" s="1"/>
  <c r="P452" i="36"/>
  <c r="P451" i="36" s="1"/>
  <c r="H452" i="36"/>
  <c r="H451" i="36" s="1"/>
  <c r="O453" i="36"/>
  <c r="O455" i="36"/>
  <c r="O456" i="36"/>
  <c r="O454" i="36"/>
  <c r="A473" i="36" l="1"/>
  <c r="A474" i="36" s="1"/>
  <c r="A475" i="36" s="1"/>
  <c r="L451" i="36"/>
  <c r="O264" i="36"/>
  <c r="K451" i="36"/>
  <c r="O452" i="36"/>
  <c r="O451" i="36" s="1"/>
  <c r="L264" i="36"/>
  <c r="H264" i="36"/>
  <c r="A478" i="36" l="1"/>
  <c r="A480" i="36" s="1"/>
  <c r="A483" i="36" s="1"/>
  <c r="A484" i="36" s="1"/>
  <c r="A485" i="36" s="1"/>
  <c r="A487" i="36" s="1"/>
  <c r="A488" i="36" s="1"/>
  <c r="A489" i="36" s="1"/>
  <c r="A490" i="36" s="1"/>
  <c r="A491" i="36" s="1"/>
  <c r="A492" i="36" s="1"/>
  <c r="A493" i="36" s="1"/>
  <c r="A494" i="36" s="1"/>
  <c r="A495" i="36" s="1"/>
  <c r="A496" i="36" s="1"/>
  <c r="A497" i="36" s="1"/>
  <c r="A500" i="36" s="1"/>
  <c r="A502" i="36" s="1"/>
  <c r="A509" i="36" s="1"/>
  <c r="A510" i="36" s="1"/>
  <c r="A511" i="36" s="1"/>
  <c r="A512" i="36" s="1"/>
  <c r="A513" i="36" s="1"/>
  <c r="A518" i="36" s="1"/>
  <c r="A521" i="36" s="1"/>
  <c r="A522" i="36" s="1"/>
  <c r="A523" i="36" s="1"/>
  <c r="A524" i="36" s="1"/>
  <c r="A525" i="36" s="1"/>
  <c r="A526" i="36" s="1"/>
  <c r="A527" i="36" s="1"/>
  <c r="A528" i="36" s="1"/>
  <c r="A529" i="36" s="1"/>
  <c r="A530" i="36" s="1"/>
  <c r="A531" i="36" s="1"/>
  <c r="A532" i="36" s="1"/>
  <c r="A533" i="36" s="1"/>
  <c r="A534" i="36" s="1"/>
  <c r="A535" i="36" s="1"/>
  <c r="A536" i="36" s="1"/>
  <c r="A537" i="36" s="1"/>
  <c r="A538" i="36" s="1"/>
  <c r="A539" i="36" s="1"/>
  <c r="A540" i="36" s="1"/>
  <c r="A541" i="36" s="1"/>
  <c r="A542" i="36" s="1"/>
  <c r="A543" i="36" s="1"/>
  <c r="A544" i="36" s="1"/>
  <c r="A545" i="36" s="1"/>
  <c r="A546" i="36" s="1"/>
  <c r="A547" i="36" s="1"/>
  <c r="A548" i="36" s="1"/>
  <c r="A549" i="36" s="1"/>
  <c r="A550" i="36" s="1"/>
  <c r="A551" i="36" s="1"/>
  <c r="A552" i="36" s="1"/>
  <c r="A553" i="36" s="1"/>
  <c r="A554" i="36" s="1"/>
  <c r="A555" i="36" s="1"/>
  <c r="A556" i="36" s="1"/>
  <c r="A557" i="36" s="1"/>
  <c r="A558" i="36" s="1"/>
  <c r="A559" i="36" s="1"/>
  <c r="A560" i="36" s="1"/>
  <c r="A561" i="36" s="1"/>
  <c r="A562" i="36" s="1"/>
  <c r="A563" i="36" s="1"/>
  <c r="A564" i="36" s="1"/>
  <c r="A565" i="36" s="1"/>
  <c r="A566" i="36" s="1"/>
  <c r="A567" i="36" s="1"/>
  <c r="A568" i="36" s="1"/>
  <c r="A569" i="36" s="1"/>
  <c r="A570" i="36" s="1"/>
  <c r="A571" i="36" s="1"/>
  <c r="A572" i="36" s="1"/>
  <c r="A573" i="36" s="1"/>
  <c r="A574" i="36" s="1"/>
  <c r="A576" i="36" s="1"/>
  <c r="A577" i="36" s="1"/>
  <c r="A578" i="36" s="1"/>
  <c r="A579" i="36" s="1"/>
  <c r="A580" i="36" s="1"/>
  <c r="O441" i="36"/>
  <c r="O440" i="36" s="1"/>
  <c r="L443" i="36"/>
  <c r="L442" i="36"/>
  <c r="L445" i="36"/>
  <c r="L446" i="36"/>
  <c r="L447" i="36"/>
  <c r="L448" i="36"/>
  <c r="L449" i="36"/>
  <c r="L450" i="36"/>
  <c r="L444" i="36"/>
  <c r="Q518" i="36"/>
  <c r="O518" i="36"/>
  <c r="Q513" i="36"/>
  <c r="Q511" i="36"/>
  <c r="Q509" i="36"/>
  <c r="Q510" i="36"/>
  <c r="Q512" i="36"/>
  <c r="O513" i="36"/>
  <c r="O511" i="36"/>
  <c r="O509" i="36"/>
  <c r="O510" i="36"/>
  <c r="O512" i="36"/>
  <c r="I508" i="36" l="1"/>
  <c r="I507" i="36" s="1"/>
  <c r="I506" i="36" s="1"/>
  <c r="J508" i="36"/>
  <c r="J507" i="36" s="1"/>
  <c r="J506" i="36" s="1"/>
  <c r="K508" i="36"/>
  <c r="K507" i="36" s="1"/>
  <c r="K506" i="36" s="1"/>
  <c r="L508" i="36"/>
  <c r="M508" i="36"/>
  <c r="M507" i="36" s="1"/>
  <c r="M506" i="36" s="1"/>
  <c r="N508" i="36"/>
  <c r="N507" i="36" s="1"/>
  <c r="N506" i="36" s="1"/>
  <c r="O508" i="36"/>
  <c r="O507" i="36" s="1"/>
  <c r="O506" i="36" s="1"/>
  <c r="P508" i="36"/>
  <c r="P507" i="36" s="1"/>
  <c r="P506" i="36" s="1"/>
  <c r="H510" i="36"/>
  <c r="H509" i="36"/>
  <c r="H512" i="36"/>
  <c r="L507" i="36" l="1"/>
  <c r="L506" i="36" s="1"/>
  <c r="H508" i="36"/>
  <c r="I378" i="36"/>
  <c r="K378" i="36"/>
  <c r="M378" i="36"/>
  <c r="N378" i="36"/>
  <c r="J382" i="36"/>
  <c r="J379" i="36"/>
  <c r="J386" i="36"/>
  <c r="J384" i="36"/>
  <c r="J383" i="36"/>
  <c r="J388" i="36"/>
  <c r="J381" i="36"/>
  <c r="J380" i="36"/>
  <c r="J387" i="36"/>
  <c r="J385" i="36"/>
  <c r="H391" i="36"/>
  <c r="I391" i="36"/>
  <c r="J391" i="36"/>
  <c r="K391" i="36"/>
  <c r="L391" i="36"/>
  <c r="M391" i="36"/>
  <c r="N391" i="36"/>
  <c r="O391" i="36"/>
  <c r="Q392" i="36"/>
  <c r="Q393" i="36"/>
  <c r="H401" i="36"/>
  <c r="I401" i="36"/>
  <c r="J401" i="36"/>
  <c r="K401" i="36"/>
  <c r="L401" i="36"/>
  <c r="M401" i="36"/>
  <c r="N401" i="36"/>
  <c r="O401" i="36"/>
  <c r="H507" i="36" l="1"/>
  <c r="H506" i="36" s="1"/>
  <c r="H377" i="36"/>
  <c r="I377" i="36"/>
  <c r="K377" i="36"/>
  <c r="L377" i="36"/>
  <c r="M377" i="36"/>
  <c r="N377" i="36"/>
  <c r="J378" i="36"/>
  <c r="J377" i="36" s="1"/>
  <c r="Q385" i="36"/>
  <c r="O385" i="36"/>
  <c r="Q387" i="36"/>
  <c r="O387" i="36"/>
  <c r="Q383" i="36"/>
  <c r="O383" i="36"/>
  <c r="Q384" i="36"/>
  <c r="O384" i="36"/>
  <c r="Q382" i="36"/>
  <c r="O382" i="36"/>
  <c r="P378" i="36"/>
  <c r="P377" i="36" s="1"/>
  <c r="O378" i="36" l="1"/>
  <c r="O377" i="36" s="1"/>
  <c r="I416" i="36"/>
  <c r="J416" i="36"/>
  <c r="K416" i="36"/>
  <c r="L416" i="36"/>
  <c r="M416" i="36"/>
  <c r="N416" i="36"/>
  <c r="P416" i="36"/>
  <c r="H416" i="36"/>
  <c r="Q418" i="36"/>
  <c r="O418" i="36"/>
  <c r="O416" i="36" s="1"/>
  <c r="Q516" i="36"/>
  <c r="R516" i="36"/>
  <c r="S516" i="36"/>
  <c r="I517" i="36"/>
  <c r="I516" i="36" s="1"/>
  <c r="K517" i="36"/>
  <c r="M517" i="36"/>
  <c r="M516" i="36" s="1"/>
  <c r="N517" i="36"/>
  <c r="N516" i="36" s="1"/>
  <c r="P516" i="36"/>
  <c r="H517" i="36"/>
  <c r="J518" i="36"/>
  <c r="J517" i="36" s="1"/>
  <c r="J516" i="36" s="1"/>
  <c r="I441" i="36"/>
  <c r="I440" i="36" s="1"/>
  <c r="K441" i="36"/>
  <c r="K440" i="36" s="1"/>
  <c r="M441" i="36"/>
  <c r="M440" i="36" s="1"/>
  <c r="N441" i="36"/>
  <c r="N440" i="36" s="1"/>
  <c r="Q450" i="36"/>
  <c r="Q449" i="36"/>
  <c r="J449" i="36"/>
  <c r="Q448" i="36"/>
  <c r="Q447" i="36"/>
  <c r="J447" i="36"/>
  <c r="Q446" i="36"/>
  <c r="Q445" i="36"/>
  <c r="Q442" i="36"/>
  <c r="Q443" i="36"/>
  <c r="L441" i="36"/>
  <c r="L440" i="36" s="1"/>
  <c r="J444" i="36"/>
  <c r="H516" i="36" l="1"/>
  <c r="J441" i="36"/>
  <c r="J440" i="36" s="1"/>
  <c r="K516" i="36"/>
  <c r="Q444" i="36"/>
  <c r="N520" i="36" l="1"/>
  <c r="O520" i="36"/>
  <c r="I197" i="36"/>
  <c r="J197" i="36"/>
  <c r="K197" i="36"/>
  <c r="L197" i="36"/>
  <c r="M197" i="36"/>
  <c r="N197" i="36"/>
  <c r="O197" i="36"/>
  <c r="P197" i="36"/>
  <c r="H197" i="36"/>
  <c r="Q473" i="36"/>
  <c r="O473" i="36"/>
  <c r="I471" i="36"/>
  <c r="I470" i="36" s="1"/>
  <c r="J471" i="36"/>
  <c r="J470" i="36" s="1"/>
  <c r="K471" i="36"/>
  <c r="L471" i="36"/>
  <c r="M471" i="36"/>
  <c r="M470" i="36" s="1"/>
  <c r="N471" i="36"/>
  <c r="N470" i="36" s="1"/>
  <c r="H471" i="36"/>
  <c r="H470" i="36" s="1"/>
  <c r="P471" i="36"/>
  <c r="P470" i="36" s="1"/>
  <c r="Q474" i="36"/>
  <c r="Q475" i="36"/>
  <c r="Q472" i="36"/>
  <c r="O475" i="36"/>
  <c r="O472" i="36"/>
  <c r="O474" i="36"/>
  <c r="K470" i="36" l="1"/>
  <c r="L470" i="36"/>
  <c r="O471" i="36"/>
  <c r="O470" i="36" s="1"/>
  <c r="Q344" i="36" l="1"/>
  <c r="Q343" i="36"/>
  <c r="Q348" i="36"/>
  <c r="Q345" i="36"/>
  <c r="Q347" i="36"/>
  <c r="Q350" i="36"/>
  <c r="Q346" i="36"/>
  <c r="Q352" i="36"/>
  <c r="O344" i="36"/>
  <c r="O343" i="36"/>
  <c r="O348" i="36"/>
  <c r="O345" i="36"/>
  <c r="O347" i="36"/>
  <c r="O350" i="36"/>
  <c r="O346" i="36"/>
  <c r="O352" i="36"/>
  <c r="O351" i="36"/>
  <c r="L342" i="36"/>
  <c r="Q419" i="36" l="1"/>
  <c r="Q417" i="36"/>
  <c r="Q415" i="36"/>
  <c r="R415" i="36"/>
  <c r="S415" i="36"/>
  <c r="I415" i="36"/>
  <c r="J415" i="36"/>
  <c r="M415" i="36"/>
  <c r="N415" i="36"/>
  <c r="O415" i="36"/>
  <c r="P415" i="36"/>
  <c r="Q260" i="36"/>
  <c r="Q261" i="36"/>
  <c r="Q262" i="36"/>
  <c r="Q263" i="36"/>
  <c r="Q255" i="36"/>
  <c r="R255" i="36"/>
  <c r="S255" i="36"/>
  <c r="I255" i="36"/>
  <c r="J255" i="36"/>
  <c r="K255" i="36"/>
  <c r="M255" i="36"/>
  <c r="N255" i="36"/>
  <c r="O255" i="36"/>
  <c r="P255" i="36"/>
  <c r="L255" i="36" l="1"/>
  <c r="H415" i="36"/>
  <c r="L415" i="36"/>
  <c r="K415" i="36"/>
  <c r="K520" i="36"/>
  <c r="H520" i="36"/>
  <c r="Q554" i="36" l="1"/>
  <c r="I575" i="36"/>
  <c r="I519" i="36" s="1"/>
  <c r="I515" i="36" s="1"/>
  <c r="I504" i="36" s="1"/>
  <c r="J575" i="36"/>
  <c r="J519" i="36" s="1"/>
  <c r="J515" i="36" s="1"/>
  <c r="J504" i="36" s="1"/>
  <c r="K575" i="36"/>
  <c r="L575" i="36"/>
  <c r="M575" i="36"/>
  <c r="N575" i="36"/>
  <c r="N519" i="36" s="1"/>
  <c r="N515" i="36" s="1"/>
  <c r="N504" i="36" s="1"/>
  <c r="O575" i="36"/>
  <c r="O519" i="36" s="1"/>
  <c r="P575" i="36"/>
  <c r="P519" i="36" s="1"/>
  <c r="P515" i="36" s="1"/>
  <c r="P504" i="36" s="1"/>
  <c r="H575" i="36"/>
  <c r="O193" i="36"/>
  <c r="O196" i="36"/>
  <c r="O189" i="36"/>
  <c r="O194" i="36"/>
  <c r="O191" i="36"/>
  <c r="O190" i="36"/>
  <c r="P188" i="36"/>
  <c r="H519" i="36" l="1"/>
  <c r="O188" i="36"/>
  <c r="M520" i="36"/>
  <c r="M519" i="36" s="1"/>
  <c r="M515" i="36" s="1"/>
  <c r="M504" i="36" s="1"/>
  <c r="K519" i="36"/>
  <c r="L520" i="36"/>
  <c r="Q325" i="36"/>
  <c r="Q324" i="36"/>
  <c r="Q326" i="36"/>
  <c r="I323" i="36"/>
  <c r="J323" i="36"/>
  <c r="K323" i="36"/>
  <c r="P323" i="36"/>
  <c r="H323" i="36"/>
  <c r="M323" i="36"/>
  <c r="N323" i="36"/>
  <c r="O326" i="36"/>
  <c r="O324" i="36"/>
  <c r="Q216" i="36"/>
  <c r="Q208" i="36"/>
  <c r="O211" i="36"/>
  <c r="O202" i="36"/>
  <c r="O201" i="36"/>
  <c r="O224" i="36"/>
  <c r="O214" i="36"/>
  <c r="O209" i="36"/>
  <c r="O213" i="36"/>
  <c r="O216" i="36"/>
  <c r="O210" i="36"/>
  <c r="O215" i="36"/>
  <c r="O223" i="36"/>
  <c r="O205" i="36"/>
  <c r="O212" i="36"/>
  <c r="O206" i="36"/>
  <c r="O207" i="36"/>
  <c r="O203" i="36"/>
  <c r="O204" i="36"/>
  <c r="O221" i="36"/>
  <c r="O219" i="36"/>
  <c r="O222" i="36"/>
  <c r="O220" i="36"/>
  <c r="O218" i="36"/>
  <c r="I199" i="36"/>
  <c r="K199" i="36"/>
  <c r="L199" i="36"/>
  <c r="M199" i="36"/>
  <c r="N199" i="36"/>
  <c r="P199" i="36"/>
  <c r="L469" i="36"/>
  <c r="Q468" i="36"/>
  <c r="I467" i="36"/>
  <c r="I466" i="36" s="1"/>
  <c r="J467" i="36"/>
  <c r="J466" i="36" s="1"/>
  <c r="K467" i="36"/>
  <c r="M467" i="36"/>
  <c r="M466" i="36" s="1"/>
  <c r="N467" i="36"/>
  <c r="N466" i="36" s="1"/>
  <c r="O467" i="36"/>
  <c r="O466" i="36" s="1"/>
  <c r="P467" i="36"/>
  <c r="P466" i="36" s="1"/>
  <c r="H467" i="36"/>
  <c r="H466" i="36" s="1"/>
  <c r="Q374" i="36"/>
  <c r="Q319" i="36"/>
  <c r="Q320" i="36"/>
  <c r="Q321" i="36"/>
  <c r="Q318" i="36"/>
  <c r="Q314" i="36"/>
  <c r="Q315" i="36"/>
  <c r="H515" i="36" l="1"/>
  <c r="H504" i="36" s="1"/>
  <c r="K515" i="36"/>
  <c r="K504" i="36" s="1"/>
  <c r="L519" i="36"/>
  <c r="K466" i="36"/>
  <c r="L467" i="36"/>
  <c r="Q469" i="36"/>
  <c r="Q309" i="36"/>
  <c r="Q308" i="36"/>
  <c r="Q306" i="36"/>
  <c r="Q304" i="36"/>
  <c r="Q303" i="36"/>
  <c r="Q299" i="36"/>
  <c r="Q300" i="36"/>
  <c r="Q301" i="36"/>
  <c r="Q273" i="36"/>
  <c r="Q243" i="36"/>
  <c r="Q245" i="36"/>
  <c r="Q246" i="36"/>
  <c r="Q242" i="36"/>
  <c r="Q247" i="36"/>
  <c r="Q248" i="36"/>
  <c r="Q249" i="36"/>
  <c r="Q250" i="36"/>
  <c r="Q239" i="36"/>
  <c r="Q240" i="36"/>
  <c r="Q251" i="36"/>
  <c r="Q252" i="36"/>
  <c r="Q253" i="36"/>
  <c r="Q254" i="36"/>
  <c r="Q241" i="36"/>
  <c r="Q200" i="36"/>
  <c r="Q218" i="36"/>
  <c r="Q211" i="36"/>
  <c r="Q202" i="36"/>
  <c r="Q201" i="36"/>
  <c r="Q224" i="36"/>
  <c r="Q214" i="36"/>
  <c r="Q209" i="36"/>
  <c r="Q213" i="36"/>
  <c r="Q210" i="36"/>
  <c r="Q215" i="36"/>
  <c r="Q223" i="36"/>
  <c r="Q205" i="36"/>
  <c r="Q212" i="36"/>
  <c r="Q206" i="36"/>
  <c r="Q207" i="36"/>
  <c r="Q203" i="36"/>
  <c r="Q204" i="36"/>
  <c r="Q219" i="36"/>
  <c r="Q222" i="36"/>
  <c r="Q220" i="36"/>
  <c r="Q490" i="36"/>
  <c r="Q491" i="36"/>
  <c r="Q492" i="36"/>
  <c r="Q493" i="36"/>
  <c r="Q494" i="36"/>
  <c r="Q488" i="36"/>
  <c r="Q487" i="36"/>
  <c r="Q495" i="36"/>
  <c r="Q497" i="36"/>
  <c r="Q496" i="36"/>
  <c r="Q489" i="36"/>
  <c r="Q483" i="36"/>
  <c r="Q485" i="36"/>
  <c r="Q484" i="36"/>
  <c r="Q465" i="36"/>
  <c r="Q438" i="36"/>
  <c r="Q358" i="36"/>
  <c r="Q368" i="36"/>
  <c r="Q366" i="36"/>
  <c r="Q331" i="36"/>
  <c r="L466" i="36" l="1"/>
  <c r="O200" i="36"/>
  <c r="O208" i="36"/>
  <c r="O199" i="36" l="1"/>
  <c r="I310" i="36"/>
  <c r="J310" i="36"/>
  <c r="K310" i="36"/>
  <c r="L310" i="36"/>
  <c r="M310" i="36"/>
  <c r="N310" i="36"/>
  <c r="P310" i="36"/>
  <c r="H310" i="36"/>
  <c r="I327" i="36"/>
  <c r="J327" i="36"/>
  <c r="K327" i="36"/>
  <c r="M327" i="36"/>
  <c r="N327" i="36"/>
  <c r="O327" i="36"/>
  <c r="P327" i="36"/>
  <c r="H327" i="36"/>
  <c r="L328" i="36"/>
  <c r="H313" i="36"/>
  <c r="L327" i="36" l="1"/>
  <c r="Q328" i="36"/>
  <c r="H322" i="36"/>
  <c r="O310" i="36"/>
  <c r="I313" i="36"/>
  <c r="J313" i="36"/>
  <c r="K313" i="36"/>
  <c r="L313" i="36"/>
  <c r="M313" i="36"/>
  <c r="N313" i="36"/>
  <c r="P313" i="36"/>
  <c r="O315" i="36"/>
  <c r="O313" i="36" s="1"/>
  <c r="O308" i="36" l="1"/>
  <c r="I307" i="36"/>
  <c r="J307" i="36"/>
  <c r="K307" i="36"/>
  <c r="L307" i="36"/>
  <c r="M307" i="36"/>
  <c r="N307" i="36"/>
  <c r="P307" i="36"/>
  <c r="H307" i="36"/>
  <c r="O309" i="36"/>
  <c r="I305" i="36"/>
  <c r="J305" i="36"/>
  <c r="K305" i="36"/>
  <c r="L305" i="36"/>
  <c r="M305" i="36"/>
  <c r="O305" i="36"/>
  <c r="P305" i="36"/>
  <c r="H305" i="36"/>
  <c r="N306" i="36"/>
  <c r="N305" i="36" s="1"/>
  <c r="J298" i="36"/>
  <c r="K298" i="36"/>
  <c r="L298" i="36"/>
  <c r="M298" i="36"/>
  <c r="N299" i="36"/>
  <c r="N298" i="36" s="1"/>
  <c r="O300" i="36"/>
  <c r="O301" i="36"/>
  <c r="I302" i="36"/>
  <c r="J302" i="36"/>
  <c r="K302" i="36"/>
  <c r="L302" i="36"/>
  <c r="M302" i="36"/>
  <c r="N302" i="36"/>
  <c r="P302" i="36"/>
  <c r="H302" i="36"/>
  <c r="O304" i="36"/>
  <c r="O303" i="36"/>
  <c r="L244" i="36"/>
  <c r="P299" i="36" l="1"/>
  <c r="N297" i="36"/>
  <c r="Q244" i="36"/>
  <c r="I297" i="36"/>
  <c r="J297" i="36"/>
  <c r="H297" i="36"/>
  <c r="L297" i="36"/>
  <c r="O307" i="36"/>
  <c r="M297" i="36"/>
  <c r="K297" i="36"/>
  <c r="O298" i="36"/>
  <c r="O302" i="36"/>
  <c r="O297" i="36" l="1"/>
  <c r="I353" i="36" l="1"/>
  <c r="K353" i="36"/>
  <c r="M353" i="36"/>
  <c r="M352" i="36" s="1"/>
  <c r="N353" i="36"/>
  <c r="N352" i="36" s="1"/>
  <c r="P353" i="36"/>
  <c r="P352" i="36" s="1"/>
  <c r="O366" i="36"/>
  <c r="O368" i="36"/>
  <c r="O358" i="36"/>
  <c r="J353" i="36"/>
  <c r="O354" i="36" l="1"/>
  <c r="O353" i="36" s="1"/>
  <c r="L353" i="36"/>
  <c r="I312" i="36"/>
  <c r="J312" i="36"/>
  <c r="K312" i="36"/>
  <c r="M312" i="36"/>
  <c r="N312" i="36"/>
  <c r="O312" i="36"/>
  <c r="P312" i="36"/>
  <c r="H312" i="36"/>
  <c r="L312" i="36" l="1"/>
  <c r="O490" i="36"/>
  <c r="O491" i="36"/>
  <c r="O492" i="36"/>
  <c r="O493" i="36"/>
  <c r="O494" i="36"/>
  <c r="O488" i="36"/>
  <c r="O487" i="36"/>
  <c r="O495" i="36"/>
  <c r="O497" i="36"/>
  <c r="O496" i="36"/>
  <c r="O489" i="36"/>
  <c r="O486" i="36" l="1"/>
  <c r="I342" i="36"/>
  <c r="I341" i="36" s="1"/>
  <c r="J342" i="36"/>
  <c r="J341" i="36" s="1"/>
  <c r="K342" i="36"/>
  <c r="K341" i="36" s="1"/>
  <c r="L341" i="36"/>
  <c r="H342" i="36"/>
  <c r="H341" i="36" l="1"/>
  <c r="O342" i="36"/>
  <c r="O341" i="36" s="1"/>
  <c r="I317" i="36" l="1"/>
  <c r="I316" i="36" s="1"/>
  <c r="J317" i="36"/>
  <c r="J316" i="36" s="1"/>
  <c r="K317" i="36"/>
  <c r="L317" i="36"/>
  <c r="N317" i="36"/>
  <c r="N316" i="36" s="1"/>
  <c r="O317" i="36"/>
  <c r="O316" i="36" s="1"/>
  <c r="H317" i="36"/>
  <c r="L316" i="36" l="1"/>
  <c r="H316" i="36"/>
  <c r="K316" i="36"/>
  <c r="J434" i="36"/>
  <c r="K434" i="36"/>
  <c r="L434" i="36"/>
  <c r="M434" i="36"/>
  <c r="N434" i="36"/>
  <c r="P434" i="36"/>
  <c r="H434" i="36"/>
  <c r="O435" i="36"/>
  <c r="O434" i="36" s="1"/>
  <c r="I435" i="36"/>
  <c r="I434" i="36" l="1"/>
  <c r="Q435" i="36"/>
  <c r="I432" i="36"/>
  <c r="J432" i="36"/>
  <c r="J420" i="36" s="1"/>
  <c r="K432" i="36"/>
  <c r="L432" i="36"/>
  <c r="M432" i="36"/>
  <c r="M420" i="36" s="1"/>
  <c r="N432" i="36"/>
  <c r="O432" i="36"/>
  <c r="P432" i="36"/>
  <c r="P420" i="36" s="1"/>
  <c r="H432" i="36"/>
  <c r="H420" i="36" s="1"/>
  <c r="I420" i="36" l="1"/>
  <c r="O420" i="36"/>
  <c r="L420" i="36"/>
  <c r="K420" i="36"/>
  <c r="I373" i="36" l="1"/>
  <c r="I369" i="36" s="1"/>
  <c r="J373" i="36"/>
  <c r="J369" i="36" s="1"/>
  <c r="K373" i="36"/>
  <c r="K369" i="36" s="1"/>
  <c r="M373" i="36"/>
  <c r="M369" i="36" s="1"/>
  <c r="N373" i="36"/>
  <c r="N369" i="36" s="1"/>
  <c r="O373" i="36"/>
  <c r="O369" i="36" s="1"/>
  <c r="P373" i="36"/>
  <c r="P369" i="36" s="1"/>
  <c r="H373" i="36"/>
  <c r="H369" i="36" s="1"/>
  <c r="O245" i="36" l="1"/>
  <c r="O246" i="36"/>
  <c r="O242" i="36"/>
  <c r="O247" i="36"/>
  <c r="O248" i="36"/>
  <c r="O249" i="36"/>
  <c r="O250" i="36"/>
  <c r="O239" i="36"/>
  <c r="O240" i="36"/>
  <c r="O251" i="36"/>
  <c r="O252" i="36"/>
  <c r="O253" i="36"/>
  <c r="O254" i="36"/>
  <c r="O243" i="36"/>
  <c r="O241" i="36"/>
  <c r="N482" i="36"/>
  <c r="N481" i="36" s="1"/>
  <c r="J482" i="36"/>
  <c r="J481" i="36" s="1"/>
  <c r="I482" i="36"/>
  <c r="I481" i="36" s="1"/>
  <c r="K482" i="36"/>
  <c r="L482" i="36"/>
  <c r="M482" i="36"/>
  <c r="M481" i="36" s="1"/>
  <c r="O482" i="36"/>
  <c r="O481" i="36" s="1"/>
  <c r="P482" i="36"/>
  <c r="P481" i="36" s="1"/>
  <c r="H482" i="36"/>
  <c r="I436" i="36"/>
  <c r="J436" i="36"/>
  <c r="M436" i="36"/>
  <c r="N436" i="36"/>
  <c r="P436" i="36"/>
  <c r="H436" i="36"/>
  <c r="O438" i="36"/>
  <c r="I272" i="36"/>
  <c r="I271" i="36" s="1"/>
  <c r="J272" i="36"/>
  <c r="J271" i="36" s="1"/>
  <c r="K272" i="36"/>
  <c r="L272" i="36"/>
  <c r="M272" i="36"/>
  <c r="M271" i="36" s="1"/>
  <c r="M254" i="36" s="1"/>
  <c r="M253" i="36" s="1"/>
  <c r="M252" i="36" s="1"/>
  <c r="M251" i="36" s="1"/>
  <c r="N272" i="36"/>
  <c r="N271" i="36" s="1"/>
  <c r="O272" i="36"/>
  <c r="O271" i="36" s="1"/>
  <c r="P272" i="36"/>
  <c r="P271" i="36" s="1"/>
  <c r="H272" i="36"/>
  <c r="I464" i="36"/>
  <c r="I463" i="36" s="1"/>
  <c r="J464" i="36"/>
  <c r="J463" i="36" s="1"/>
  <c r="K464" i="36"/>
  <c r="K463" i="36" s="1"/>
  <c r="L464" i="36"/>
  <c r="M464" i="36"/>
  <c r="M463" i="36" s="1"/>
  <c r="N464" i="36"/>
  <c r="N463" i="36" s="1"/>
  <c r="P464" i="36"/>
  <c r="P463" i="36" s="1"/>
  <c r="H464" i="36"/>
  <c r="O465" i="36"/>
  <c r="O464" i="36" s="1"/>
  <c r="O463" i="36" s="1"/>
  <c r="O331" i="36"/>
  <c r="I322" i="36"/>
  <c r="J322" i="36"/>
  <c r="K322" i="36"/>
  <c r="L322" i="36"/>
  <c r="N322" i="36"/>
  <c r="O325" i="36"/>
  <c r="O323" i="36" s="1"/>
  <c r="O330" i="36" l="1"/>
  <c r="O329" i="36" s="1"/>
  <c r="O437" i="36"/>
  <c r="O436" i="36" s="1"/>
  <c r="L271" i="36"/>
  <c r="O322" i="36"/>
  <c r="P322" i="36"/>
  <c r="P321" i="36" s="1"/>
  <c r="P320" i="36" s="1"/>
  <c r="P319" i="36" s="1"/>
  <c r="P318" i="36" s="1"/>
  <c r="P317" i="36" s="1"/>
  <c r="P316" i="36" s="1"/>
  <c r="M322" i="36"/>
  <c r="O238" i="36"/>
  <c r="L436" i="36"/>
  <c r="H481" i="36"/>
  <c r="K481" i="36"/>
  <c r="K436" i="36"/>
  <c r="L481" i="36"/>
  <c r="K271" i="36"/>
  <c r="H271" i="36"/>
  <c r="L463" i="36"/>
  <c r="H463" i="36"/>
  <c r="I461" i="36" l="1"/>
  <c r="I460" i="36" s="1"/>
  <c r="J461" i="36"/>
  <c r="J460" i="36" s="1"/>
  <c r="K461" i="36"/>
  <c r="K460" i="36" s="1"/>
  <c r="L461" i="36"/>
  <c r="L460" i="36" s="1"/>
  <c r="M461" i="36"/>
  <c r="M460" i="36" s="1"/>
  <c r="N461" i="36"/>
  <c r="N460" i="36" s="1"/>
  <c r="P461" i="36"/>
  <c r="P460" i="36" s="1"/>
  <c r="H461" i="36"/>
  <c r="H460" i="36" s="1"/>
  <c r="I238" i="36"/>
  <c r="J238" i="36"/>
  <c r="J18" i="36" s="1"/>
  <c r="J16" i="36" s="1"/>
  <c r="K238" i="36"/>
  <c r="K18" i="36" s="1"/>
  <c r="K16" i="36" s="1"/>
  <c r="L238" i="36"/>
  <c r="N238" i="36"/>
  <c r="H238" i="36"/>
  <c r="I18" i="36" l="1"/>
  <c r="I16" i="36" s="1"/>
  <c r="H18" i="36"/>
  <c r="H16" i="36" s="1"/>
  <c r="O461" i="36"/>
  <c r="O460" i="36" s="1"/>
  <c r="P238" i="36" l="1"/>
  <c r="L517" i="36" l="1"/>
  <c r="L516" i="36" l="1"/>
  <c r="O517" i="36"/>
  <c r="O516" i="36" s="1"/>
  <c r="Q287" i="36"/>
  <c r="Q288" i="36"/>
  <c r="Q280" i="36"/>
  <c r="Q282" i="36"/>
  <c r="Q286" i="36"/>
  <c r="Q283" i="36"/>
  <c r="Q276" i="36"/>
  <c r="Q279" i="36"/>
  <c r="Q284" i="36"/>
  <c r="L515" i="36" l="1"/>
  <c r="L504" i="36" s="1"/>
  <c r="O515" i="36"/>
  <c r="O504" i="36" s="1"/>
  <c r="Q278" i="36"/>
  <c r="Q285" i="36"/>
  <c r="Q281" i="36"/>
  <c r="Q289" i="36"/>
  <c r="Q277" i="36" l="1"/>
  <c r="Q295" i="36" l="1"/>
  <c r="L294" i="36"/>
  <c r="O294" i="36"/>
  <c r="O293" i="36" s="1"/>
  <c r="O18" i="36" s="1"/>
  <c r="L293" i="36" l="1"/>
  <c r="L18" i="36" l="1"/>
  <c r="O16" i="36" l="1"/>
  <c r="L16" i="36" l="1"/>
  <c r="M250" i="36" l="1"/>
  <c r="M249" i="36" s="1"/>
  <c r="M248" i="36" s="1"/>
  <c r="M247" i="36" s="1"/>
  <c r="M246" i="36" s="1"/>
  <c r="M245" i="36" s="1"/>
  <c r="M244" i="36" s="1"/>
  <c r="M243" i="36" s="1"/>
  <c r="M242" i="36" s="1"/>
  <c r="M241" i="36" s="1"/>
  <c r="M240" i="36" s="1"/>
  <c r="M239" i="36" s="1"/>
  <c r="M238" i="36" s="1"/>
  <c r="P301" i="36"/>
  <c r="P300" i="36" s="1"/>
  <c r="P298" i="36" s="1"/>
  <c r="P297" i="36" s="1"/>
  <c r="M351" i="36"/>
  <c r="M350" i="36" s="1"/>
  <c r="P351" i="36"/>
  <c r="P350" i="36" s="1"/>
  <c r="N351" i="36"/>
  <c r="N350" i="36" s="1"/>
  <c r="M347" i="36" l="1"/>
  <c r="M346" i="36" s="1"/>
  <c r="M345" i="36" s="1"/>
  <c r="M344" i="36" s="1"/>
  <c r="M343" i="36" s="1"/>
  <c r="M342" i="36" s="1"/>
  <c r="M341" i="36" s="1"/>
  <c r="M18" i="36" s="1"/>
  <c r="M16" i="36" s="1"/>
  <c r="M348" i="36"/>
  <c r="N348" i="36"/>
  <c r="N347" i="36"/>
  <c r="P348" i="36"/>
  <c r="P347" i="36"/>
  <c r="P346" i="36" l="1"/>
  <c r="P345" i="36" s="1"/>
  <c r="P344" i="36" s="1"/>
  <c r="P343" i="36" s="1"/>
  <c r="P342" i="36" s="1"/>
  <c r="P341" i="36" s="1"/>
  <c r="N346" i="36"/>
  <c r="N345" i="36" s="1"/>
  <c r="N344" i="36" s="1"/>
  <c r="N343" i="36" s="1"/>
  <c r="N342" i="36" s="1"/>
  <c r="N341" i="36" s="1"/>
  <c r="P16" i="36" l="1"/>
  <c r="P18" i="36"/>
  <c r="N421" i="36"/>
  <c r="N420" i="36" s="1"/>
  <c r="N18" i="36" s="1"/>
  <c r="N16" i="36" s="1"/>
</calcChain>
</file>

<file path=xl/comments1.xml><?xml version="1.0" encoding="utf-8"?>
<comments xmlns="http://schemas.openxmlformats.org/spreadsheetml/2006/main">
  <authors>
    <author>Попов</author>
  </authors>
  <commentList>
    <comment ref="A37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на спецсчетах:
</t>
        </r>
      </text>
    </comment>
    <comment ref="A43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СПЕЦСЧЕТ</t>
        </r>
      </text>
    </comment>
  </commentList>
</comments>
</file>

<file path=xl/sharedStrings.xml><?xml version="1.0" encoding="utf-8"?>
<sst xmlns="http://schemas.openxmlformats.org/spreadsheetml/2006/main" count="2088" uniqueCount="675">
  <si>
    <t>№ п/п</t>
  </si>
  <si>
    <t>Год</t>
  </si>
  <si>
    <t>Материал стен</t>
  </si>
  <si>
    <t>Количество этажей</t>
  </si>
  <si>
    <t>Количество подъездов</t>
  </si>
  <si>
    <t>Площадь помещений МКД: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</si>
  <si>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</si>
  <si>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</si>
  <si>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</si>
  <si>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</si>
  <si>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ввода в эксплуатацию</t>
  </si>
  <si>
    <t>всего:</t>
  </si>
  <si>
    <t>в том числе жилых помещений, находящихся в собственности граждан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</si>
  <si>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</si>
  <si>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</si>
  <si>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</si>
  <si>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чел.</t>
  </si>
  <si>
    <t>руб.</t>
  </si>
  <si>
    <t>в том числе</t>
  </si>
  <si>
    <t>за счет привлеченных средств</t>
  </si>
  <si>
    <t>Всего</t>
  </si>
  <si>
    <t>кв. м</t>
  </si>
  <si>
    <t>Адрес МКД</t>
  </si>
  <si>
    <t>ед.</t>
  </si>
  <si>
    <t>куб. м</t>
  </si>
  <si>
    <t>Наименование муниципального образования</t>
  </si>
  <si>
    <t>Количество МКД</t>
  </si>
  <si>
    <t>I квартал</t>
  </si>
  <si>
    <t>II квартал</t>
  </si>
  <si>
    <t>III квартал</t>
  </si>
  <si>
    <t>IV квартал</t>
  </si>
  <si>
    <t xml:space="preserve">Приложение </t>
  </si>
  <si>
    <t>завершения последнего капитального ремонта</t>
  </si>
  <si>
    <t>Общая площадь МКД, всего</t>
  </si>
  <si>
    <t>Формирование фонда капитального ремонта многоквартирного дома на счете некоммерческой организации - Фонд капитального ремонта многоквартирных домов Тверской области (далее - региональный оператор)</t>
  </si>
  <si>
    <t>Формирование фонда капитального ремонта многоквартирного дома на специальном счете, владельцем которого является региональный оператор</t>
  </si>
  <si>
    <t>Стоимость капитального ремонта:</t>
  </si>
  <si>
    <t>Формирование фонда капитального ремонта многоквартирного дома на специальном счете, владельцем которого является товарищество собственников жилья, жилищно-строительный кооператив, жилищный кооператив, иной специализированный потребительский кооператив, управляющая компания</t>
  </si>
  <si>
    <t>I. Перечень многоквартирных домов, которые подлежат капитальному ремонту</t>
  </si>
  <si>
    <t xml:space="preserve">II. Реестр многоквартирных домов, которые подлежат капитальному ремонту по видам ремонта </t>
  </si>
  <si>
    <t>Х</t>
  </si>
  <si>
    <t>Бежецкий район</t>
  </si>
  <si>
    <t>Итого по Тверской области</t>
  </si>
  <si>
    <t>ул. Московская, д. 7</t>
  </si>
  <si>
    <t>1965</t>
  </si>
  <si>
    <t>ул. Московская, д.8</t>
  </si>
  <si>
    <t>1963</t>
  </si>
  <si>
    <t>ул. Уварова, д. 6</t>
  </si>
  <si>
    <t>Бологовский район</t>
  </si>
  <si>
    <t>Весьегонский район</t>
  </si>
  <si>
    <t>Вышневолоцкий район</t>
  </si>
  <si>
    <t>Жарковский район</t>
  </si>
  <si>
    <t>Западнодвинский район</t>
  </si>
  <si>
    <t>Зубцовский район</t>
  </si>
  <si>
    <t>Калининский район</t>
  </si>
  <si>
    <t>Калязинский район</t>
  </si>
  <si>
    <t>Кашинский район</t>
  </si>
  <si>
    <t>Кимрский район</t>
  </si>
  <si>
    <t>Конаковский район</t>
  </si>
  <si>
    <t>Краснохолмский район</t>
  </si>
  <si>
    <t>Кувшиновский район</t>
  </si>
  <si>
    <t xml:space="preserve">Лихославльский район </t>
  </si>
  <si>
    <t>Максатихинский район</t>
  </si>
  <si>
    <t>Нелидовский район</t>
  </si>
  <si>
    <t>Оленинский район</t>
  </si>
  <si>
    <t>Осташковский район</t>
  </si>
  <si>
    <t>Рамешковский район</t>
  </si>
  <si>
    <t>Сандовский район</t>
  </si>
  <si>
    <t>Селижаровский район</t>
  </si>
  <si>
    <t>Старицкий район</t>
  </si>
  <si>
    <t>Торопецкий район</t>
  </si>
  <si>
    <t>Фировский район</t>
  </si>
  <si>
    <t>Бельский район</t>
  </si>
  <si>
    <t>ул. Кирова, д. 37</t>
  </si>
  <si>
    <t>1984</t>
  </si>
  <si>
    <t>1967</t>
  </si>
  <si>
    <t>1983</t>
  </si>
  <si>
    <t>1965 </t>
  </si>
  <si>
    <t>2 </t>
  </si>
  <si>
    <t> 499,40</t>
  </si>
  <si>
    <t>22 </t>
  </si>
  <si>
    <t>1 </t>
  </si>
  <si>
    <t>744,00 </t>
  </si>
  <si>
    <t>506,7 0</t>
  </si>
  <si>
    <t>705,40 </t>
  </si>
  <si>
    <t>476,40 </t>
  </si>
  <si>
    <t> 2</t>
  </si>
  <si>
    <t>518 ,80</t>
  </si>
  <si>
    <t> 18</t>
  </si>
  <si>
    <t>3 </t>
  </si>
  <si>
    <t>552,4 0</t>
  </si>
  <si>
    <t> 32</t>
  </si>
  <si>
    <t> 29,00</t>
  </si>
  <si>
    <t>п. Мирный, ул. Ленина, д. 5</t>
  </si>
  <si>
    <t>п. Мирный, ул. Ленина, д. 12</t>
  </si>
  <si>
    <t>п. Мирный, ул. С. Козлова, д. 1</t>
  </si>
  <si>
    <t>п. Мирный, ул. Озерная, д. 10</t>
  </si>
  <si>
    <t>п. Мирный, ул. Озерная, д. 4</t>
  </si>
  <si>
    <t>Андреапольский район</t>
  </si>
  <si>
    <t>1934</t>
  </si>
  <si>
    <t>1951</t>
  </si>
  <si>
    <t>3</t>
  </si>
  <si>
    <t>4</t>
  </si>
  <si>
    <t>пер. Адрианова, д. 19</t>
  </si>
  <si>
    <t>пер. 1-й Путейский, д. 21</t>
  </si>
  <si>
    <t>ул. Володарского, д. 27</t>
  </si>
  <si>
    <t>ул. Вагжанова, д. 78</t>
  </si>
  <si>
    <t>ул. 9 Января, д. 67</t>
  </si>
  <si>
    <t>ул. 9 Января, д. 71</t>
  </si>
  <si>
    <t>ул. Красноармейская, д. 3</t>
  </si>
  <si>
    <t>ул. Дзержинского, д. 5</t>
  </si>
  <si>
    <t>ул. Дзержинского, д. 14</t>
  </si>
  <si>
    <t>ул. Матросова, д. 23</t>
  </si>
  <si>
    <t>ул. Нахимова, д. 21</t>
  </si>
  <si>
    <t>ул. Пионерская, д. 8</t>
  </si>
  <si>
    <t>ул. Шменкеля, д. 14/12</t>
  </si>
  <si>
    <t>ул. Матросова, д. 32</t>
  </si>
  <si>
    <t>ул. Ямская, д. 297</t>
  </si>
  <si>
    <t xml:space="preserve">ул. 9 Января, д. 21 </t>
  </si>
  <si>
    <t>Итого по городское поселение город Зубцов</t>
  </si>
  <si>
    <t>Итого по городское поселение поселок Козлово</t>
  </si>
  <si>
    <t>III. Планируемые показатели выполнения работ по капитальному ремонту многоквартирных домов</t>
  </si>
  <si>
    <t>ул. Мира, д. 34</t>
  </si>
  <si>
    <t>ул. К. Маркса, д. 47</t>
  </si>
  <si>
    <t>до 1917</t>
  </si>
  <si>
    <t>4-5</t>
  </si>
  <si>
    <t>Всего по Тверской области</t>
  </si>
  <si>
    <t>Формирование фонда капитального ремонта многоквартирного дома на специальном счете</t>
  </si>
  <si>
    <t>Удомельский городской округ</t>
  </si>
  <si>
    <t>ул. 9 Января, д. 65</t>
  </si>
  <si>
    <t>Пеновский район</t>
  </si>
  <si>
    <t>Торжокский район</t>
  </si>
  <si>
    <t>Торжокскийй район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</si>
  <si>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</si>
  <si>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</si>
  <si>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 xml:space="preserve">ремонт крыши, в том числе устройство выходов на кровлю
</t>
  </si>
  <si>
    <t>ремонт подвальных помещений, относящихся к общему имуществу в многоквартирном доме</t>
  </si>
  <si>
    <t>ремонт фундамента многоквартирного дома</t>
  </si>
  <si>
    <t>286,50 </t>
  </si>
  <si>
    <t>407,6 0</t>
  </si>
  <si>
    <t> 296,90</t>
  </si>
  <si>
    <t> 35</t>
  </si>
  <si>
    <t> 30</t>
  </si>
  <si>
    <t>Каменные, кирпичные</t>
  </si>
  <si>
    <t>Панельные</t>
  </si>
  <si>
    <t>Блочные</t>
  </si>
  <si>
    <t>Деревянные</t>
  </si>
  <si>
    <t>Смешанные</t>
  </si>
  <si>
    <t>Прочие</t>
  </si>
  <si>
    <t>ул. Екатерины Фарафоновой, д. 37</t>
  </si>
  <si>
    <t>ул. Вагжанова, д. 4</t>
  </si>
  <si>
    <t>ул. Советская, д. 60</t>
  </si>
  <si>
    <t>ул. Бобкова, д. 2</t>
  </si>
  <si>
    <t>ул. Румянцева, д. 24/40</t>
  </si>
  <si>
    <t>ул. Советская, д. 24</t>
  </si>
  <si>
    <t>ул. Скворцова-Степанова, д. 16</t>
  </si>
  <si>
    <t>ул. Седова, д. 120А</t>
  </si>
  <si>
    <t>ул. Советская, д. 8</t>
  </si>
  <si>
    <t>ул. Ипподромная, д. 22</t>
  </si>
  <si>
    <t>ул. Горького, д. 106</t>
  </si>
  <si>
    <t>ул. Ротмистрова, д. 20</t>
  </si>
  <si>
    <t>ул. Мусоргского, д. 38/33</t>
  </si>
  <si>
    <t>ул. Озерная, д. 23</t>
  </si>
  <si>
    <t xml:space="preserve">ул. Прядильная, д. 13 </t>
  </si>
  <si>
    <t>ул. Гвардейская, д. 5</t>
  </si>
  <si>
    <t>ул. Мичурина, д. 37/23</t>
  </si>
  <si>
    <t>ул. Ипподромная, д. 10</t>
  </si>
  <si>
    <t>ул. Хромова, д. 16</t>
  </si>
  <si>
    <t xml:space="preserve">ул. Можайского, д. 51 </t>
  </si>
  <si>
    <t>ул. Королева, д. 24</t>
  </si>
  <si>
    <t>ул. Орджоникидзе, д. 8</t>
  </si>
  <si>
    <t>ул. Академическая, д. 22</t>
  </si>
  <si>
    <t>ул. 15 лет Октября, д. 47</t>
  </si>
  <si>
    <t>ул. Коробкова, д. 18</t>
  </si>
  <si>
    <t>ул. Крылова, д. 5</t>
  </si>
  <si>
    <t>ул. Орджоникидзе, д. 12/1</t>
  </si>
  <si>
    <t>ул. Благоева, д. 6А</t>
  </si>
  <si>
    <t>ул. Склизкова, д. 88</t>
  </si>
  <si>
    <t>ул. Терещенко, д. 28</t>
  </si>
  <si>
    <t>ул. Громова, д. 30</t>
  </si>
  <si>
    <t>ул. Орджоникидзе, д. 5</t>
  </si>
  <si>
    <t>ул. Орджоникидзе, д. 4/2</t>
  </si>
  <si>
    <t>ул. 15 лет Октября, д. 64/23</t>
  </si>
  <si>
    <t>ул. Орджоникидзе, д. 11</t>
  </si>
  <si>
    <t>ул. Бориса Полевого, д. 10/11</t>
  </si>
  <si>
    <t>ул. Терещенко, д. 35</t>
  </si>
  <si>
    <t>ул. Веселова, д. 34/28</t>
  </si>
  <si>
    <t>ул. Чудова, д. 14</t>
  </si>
  <si>
    <t>ул. Ротмистрова, д. 17</t>
  </si>
  <si>
    <t>ул. Орджоникидзе, д. 1</t>
  </si>
  <si>
    <t>ул. Лукина, д. 14</t>
  </si>
  <si>
    <t>ул. Кайкова, д. 4А</t>
  </si>
  <si>
    <t>ул. Орджоникидзе, д. 14</t>
  </si>
  <si>
    <t>ул. Академическая, д. 16</t>
  </si>
  <si>
    <t>ул. Московская, д. 78</t>
  </si>
  <si>
    <t>ул. Склизкова, д. 80</t>
  </si>
  <si>
    <t>ул. Богданова, д. 26/17</t>
  </si>
  <si>
    <t>ул. 15 лет Октября, д. 60</t>
  </si>
  <si>
    <t>ул. Резинстроя, д. 2/7</t>
  </si>
  <si>
    <t>ул. 15 лет Октября, д. 56</t>
  </si>
  <si>
    <t>ул. Спартака, д. 4/2</t>
  </si>
  <si>
    <t>ул. Горького, д. 4А</t>
  </si>
  <si>
    <t>ул. Ипподромная, д. 6Б</t>
  </si>
  <si>
    <t>ул. Хромова, д. 8</t>
  </si>
  <si>
    <t>ул. Паши Савельевой, д. 7</t>
  </si>
  <si>
    <t>ул. Кирова, д. 3А</t>
  </si>
  <si>
    <t>ул. Орджоникидзе, д. 13/26</t>
  </si>
  <si>
    <t>ул. Седова, д. 1Б</t>
  </si>
  <si>
    <t>ул. Орджоникидзе, д. 3</t>
  </si>
  <si>
    <t xml:space="preserve">ул. Новоторжская, д. 7 </t>
  </si>
  <si>
    <t>ул. Строителей, д. 12</t>
  </si>
  <si>
    <t>ул. Богданова, д. 29</t>
  </si>
  <si>
    <t>ул. Королева, д. 4</t>
  </si>
  <si>
    <t>ул. Богданова, д. 33/15</t>
  </si>
  <si>
    <t>ул. Чудова, д. 19</t>
  </si>
  <si>
    <t>ул. Брагина, д. 44</t>
  </si>
  <si>
    <t>ул. Лукина, д. 8</t>
  </si>
  <si>
    <t>ул. Горького, д. 89</t>
  </si>
  <si>
    <t>ул. Склизкова, д. 60</t>
  </si>
  <si>
    <t>ул. Склизкова, д. 54/25</t>
  </si>
  <si>
    <t>ул. Машинистов, д. 3</t>
  </si>
  <si>
    <t>ул. Ржевская, д. 14</t>
  </si>
  <si>
    <t>ул. Тамары Ильиной, д. 9/19</t>
  </si>
  <si>
    <t>ул. Мусоргского, д. 32/32</t>
  </si>
  <si>
    <t>ул. Седова, д. 120Б</t>
  </si>
  <si>
    <t>ул. Королева, д. 16/1</t>
  </si>
  <si>
    <t>ул. Учительская, д. 39</t>
  </si>
  <si>
    <t>ул. Горького, д. 70</t>
  </si>
  <si>
    <t>ул. Склизкова, д. 94</t>
  </si>
  <si>
    <t>ул. Дарвина, д. 2</t>
  </si>
  <si>
    <t>ул. Горького, д. 10</t>
  </si>
  <si>
    <t>ул. Академика Туполева, д. 112/24</t>
  </si>
  <si>
    <t>ул. Маршала Василевского, д. 20</t>
  </si>
  <si>
    <t>ул. Маршала Василевского, д. 18</t>
  </si>
  <si>
    <t>ул. Карла Маркса, д. 5</t>
  </si>
  <si>
    <t>пер. Перекопский, д. 11А</t>
  </si>
  <si>
    <t>пер. Никитина, д. 5</t>
  </si>
  <si>
    <t>пер. Коллективный, д. 6</t>
  </si>
  <si>
    <t>пер. Университетский, д. 3</t>
  </si>
  <si>
    <t>пер. Перекопский, д. 15</t>
  </si>
  <si>
    <t>пер. Артиллерийский, д. 12</t>
  </si>
  <si>
    <t>тер. Двор Пролетарки, д. 43</t>
  </si>
  <si>
    <t>ш. Петербургское, д. 7А</t>
  </si>
  <si>
    <t>б-р Радищева, д. 26</t>
  </si>
  <si>
    <t>б-р Ногина, д. 2</t>
  </si>
  <si>
    <t>б-р Гусева, д. 41</t>
  </si>
  <si>
    <t>б-р Гусева, д. 9</t>
  </si>
  <si>
    <t>б-р Профсоюзов, д. 21</t>
  </si>
  <si>
    <t>б-р Гусева, д. 25</t>
  </si>
  <si>
    <t>б-р Гусева, д. 39</t>
  </si>
  <si>
    <t>б-р Цанова, д. 10</t>
  </si>
  <si>
    <t>б-р Ногина, д. 4</t>
  </si>
  <si>
    <t>п. Химинститута, д. 20</t>
  </si>
  <si>
    <t>п. Химинститута, д. 7</t>
  </si>
  <si>
    <t>п. Химинститута, д. 13</t>
  </si>
  <si>
    <t>п. Химинститута, д. 38</t>
  </si>
  <si>
    <t>п. Химинститута, д. 9</t>
  </si>
  <si>
    <t>п. Химинститута, д. 32</t>
  </si>
  <si>
    <t>п. Литвинки, д. 27</t>
  </si>
  <si>
    <t>ул. Орджоникидзе, д. 46, корп. 4</t>
  </si>
  <si>
    <t>ул. Гвардейская, д. 9, корп. 1</t>
  </si>
  <si>
    <t>ул. 15 лет Октября, д. 62, корп. 1</t>
  </si>
  <si>
    <t>ул. 15 лет Октября, д. 58, корп. 1</t>
  </si>
  <si>
    <t>ул. Севастьянова, д. 7, корп. 1</t>
  </si>
  <si>
    <t>ул. Громова, д. 28, корп. 2</t>
  </si>
  <si>
    <t>ул. Фадеева, д. 34, корп. 1</t>
  </si>
  <si>
    <t>ул. Тамары Ильиной, д. 7, корп. 1</t>
  </si>
  <si>
    <t>ул. Громова, д. 36, корп. 2</t>
  </si>
  <si>
    <t xml:space="preserve">проезд Зеленый, д. 47, корп. 1 </t>
  </si>
  <si>
    <t>ул. Дарвина, д. 4, корп. 1</t>
  </si>
  <si>
    <t>б-р Гусева, д. 45, корп. 1</t>
  </si>
  <si>
    <t>ул. Ипподромная, д. 7, корп. 1</t>
  </si>
  <si>
    <t>проезд Зеленый, д. 47, корп. 2</t>
  </si>
  <si>
    <t>ул. Терещенко, д. 41, корп. 1</t>
  </si>
  <si>
    <t>ул. Благоева, д. 4, корп. 2</t>
  </si>
  <si>
    <t>пер. Смоленский, д. 8, корп. 1</t>
  </si>
  <si>
    <t>ш. Петербургское, д. 50</t>
  </si>
  <si>
    <t>ш. Петербургское, д. 86</t>
  </si>
  <si>
    <t>ш. Петербургское, д. 14, корп. 1</t>
  </si>
  <si>
    <t>ш. Петербургское, д. 60</t>
  </si>
  <si>
    <t>ш. Московское, д. 13</t>
  </si>
  <si>
    <t>ш. Осташковское, д. 8</t>
  </si>
  <si>
    <t>ул. Октябрьская, д. 73</t>
  </si>
  <si>
    <t>ул. Грацинского, д. 11</t>
  </si>
  <si>
    <t>ул. Октябрьская, д. 24/72</t>
  </si>
  <si>
    <t>ул. Первомайская, д. 32</t>
  </si>
  <si>
    <t>ул. Карла Маркса, д. 12</t>
  </si>
  <si>
    <t>ул. Паши Савельевой, д. 125/68</t>
  </si>
  <si>
    <t>ул. Большая Спасская, д. 25</t>
  </si>
  <si>
    <t xml:space="preserve">ул. Мира, д. 7 </t>
  </si>
  <si>
    <t>ул. Большая Спасская, д. 41/65</t>
  </si>
  <si>
    <t>ул. Большая Спасская, д. 52</t>
  </si>
  <si>
    <t>ул. Большая Спасская, д. 2</t>
  </si>
  <si>
    <t>ул. Профсоюзная, д. 7</t>
  </si>
  <si>
    <t>ул. Челюскинцев, д. 18</t>
  </si>
  <si>
    <t>ул. Советская, д. 2/1</t>
  </si>
  <si>
    <t>ш. Московское, д. 6</t>
  </si>
  <si>
    <t>проезд Театральный, д. 1</t>
  </si>
  <si>
    <t>ш. Ленинградское, д. 2</t>
  </si>
  <si>
    <t>ул. Советская, д. 4</t>
  </si>
  <si>
    <t>ул. Энергетиков, д. 31</t>
  </si>
  <si>
    <t>п. Энергетик, д. 2</t>
  </si>
  <si>
    <t>п. Энергетик, д. 4</t>
  </si>
  <si>
    <t>ул. Строителей, д. 1</t>
  </si>
  <si>
    <t>ул. Строителей, д. 9</t>
  </si>
  <si>
    <t>ул. Чехова, д. 11</t>
  </si>
  <si>
    <t>ул. Чехова, д. 13</t>
  </si>
  <si>
    <t>ул. Пионерская, д. 4</t>
  </si>
  <si>
    <t>ул. Пионерская, д. 12</t>
  </si>
  <si>
    <t>ул. Октябрьская, д. 23</t>
  </si>
  <si>
    <t>ул. Заводская, д. 3</t>
  </si>
  <si>
    <t>ул. Ленина, д. 24</t>
  </si>
  <si>
    <t>ул. Ленина, д. 27/5</t>
  </si>
  <si>
    <t>ул. Ленина, д. 33</t>
  </si>
  <si>
    <t>ул. Ленина, д. 35</t>
  </si>
  <si>
    <t>ул. Ленина, д. 54</t>
  </si>
  <si>
    <t>ул. Ленина, д. 58</t>
  </si>
  <si>
    <t>ул. Октябрьская, д. 22</t>
  </si>
  <si>
    <t>ул. Октябрьская, д. 24</t>
  </si>
  <si>
    <t>ул. Октябрьская, д. 26</t>
  </si>
  <si>
    <t>ул. Крестьянская, д. 9</t>
  </si>
  <si>
    <t>ул. Крестьянская, д. 11</t>
  </si>
  <si>
    <t>ул. Пионерская, д. 2</t>
  </si>
  <si>
    <t>ул. Строителей, д. 7</t>
  </si>
  <si>
    <t>ул. Пионерская, д. 3</t>
  </si>
  <si>
    <t>ул. Пионерская, д. 5</t>
  </si>
  <si>
    <t>ул. Пионерская, д. 7</t>
  </si>
  <si>
    <t>ул. Пионерская, д. 9</t>
  </si>
  <si>
    <t>ул. Пионерская, д. 10</t>
  </si>
  <si>
    <t>ул. Крестьянская, д. 17</t>
  </si>
  <si>
    <t>ул. Крестьянская, д. 19</t>
  </si>
  <si>
    <t>ул. Крестьянская, д. 21</t>
  </si>
  <si>
    <t>ул. Кузьмина, д. 31</t>
  </si>
  <si>
    <t>ул. Дорожников, д. 1</t>
  </si>
  <si>
    <t>ул. Кузьмина, д. 83</t>
  </si>
  <si>
    <t>ул. Кузьмина, д. 85</t>
  </si>
  <si>
    <t>ул. Кузьмина, д. 91</t>
  </si>
  <si>
    <t>ул. Чехова, д. 17</t>
  </si>
  <si>
    <t>ул. Чехова, д. 18</t>
  </si>
  <si>
    <t>ул. Чехова, д. 19</t>
  </si>
  <si>
    <t>ул. Чехова, д. 20</t>
  </si>
  <si>
    <t>ул. Чехова, д. 21</t>
  </si>
  <si>
    <t>ул. Чехова, д. 22</t>
  </si>
  <si>
    <t>ул. Чехова, д. 23</t>
  </si>
  <si>
    <t>ул. Заводская, д. 5</t>
  </si>
  <si>
    <t>ул. Пролетарская 6-я, д. 16</t>
  </si>
  <si>
    <t>пр-кт Победы, д. 32/3</t>
  </si>
  <si>
    <t>пр-кт 50 лет Октября, д. 2/19</t>
  </si>
  <si>
    <t>пр-кт Калинина, д. 9</t>
  </si>
  <si>
    <t>пр-кт Ленина, д. 43А</t>
  </si>
  <si>
    <t>пр-кт Чайковского, д. 37</t>
  </si>
  <si>
    <t>пр-кт Ленина, д. 14, корп. 2</t>
  </si>
  <si>
    <t>пр-кт Победы, д. 4А</t>
  </si>
  <si>
    <t>пр-кт Победы, д. 36/46</t>
  </si>
  <si>
    <t>пр-кт Победы, до 22/15</t>
  </si>
  <si>
    <t>пр-кт Октябрьский, д. 69</t>
  </si>
  <si>
    <t>пр-кт Победы, д. 28, корп. 1</t>
  </si>
  <si>
    <t>пр-кт Чайковского, д. 24/2Б</t>
  </si>
  <si>
    <t>пр-кт Победы, д. 38/45</t>
  </si>
  <si>
    <t>пр-кт Ленина, д. 40</t>
  </si>
  <si>
    <t>пр-кт Ленина, д. 43</t>
  </si>
  <si>
    <t>пр-кт Победы, д. 2А</t>
  </si>
  <si>
    <t>тер. Товарный двор, д. 483А</t>
  </si>
  <si>
    <t>ул. Пролетарская 6-я, д. 19</t>
  </si>
  <si>
    <t>проезд Карпинского 1-й, д. 2/60</t>
  </si>
  <si>
    <t>наб. Мигаловская, д. 10А</t>
  </si>
  <si>
    <t>наб. Афанасия Никитина, д. 24</t>
  </si>
  <si>
    <t>тер. Двор Пролетарки, д. 119</t>
  </si>
  <si>
    <t>пр-кт Казанский,  д. 114</t>
  </si>
  <si>
    <t>ул. Гоголя, д. 3</t>
  </si>
  <si>
    <t>п. Нижний Бор, д. 5</t>
  </si>
  <si>
    <t>ул. Садовая, д. 17/11</t>
  </si>
  <si>
    <t>ул. Карла Маркса, д. 8</t>
  </si>
  <si>
    <t>проезд Осташковский, д. 21</t>
  </si>
  <si>
    <t>пл. Советская, д. 11</t>
  </si>
  <si>
    <t>ш. Ленинградское, д. 87А</t>
  </si>
  <si>
    <t>ш. Калининское, д. 16Б</t>
  </si>
  <si>
    <t>ш. Калининское, д. 35</t>
  </si>
  <si>
    <t>ш. Ленинградское, д. 91</t>
  </si>
  <si>
    <t>ул. Завидова, д. 4</t>
  </si>
  <si>
    <t>ул. Мира, д. 4</t>
  </si>
  <si>
    <t>ул. Мира, д. 43</t>
  </si>
  <si>
    <t>ул. М.Горького, д. 55</t>
  </si>
  <si>
    <t>ул. Красноармейская, д. 2</t>
  </si>
  <si>
    <t>ул. М.Горького, д. 49</t>
  </si>
  <si>
    <t>ул. Московская, д. 3</t>
  </si>
  <si>
    <t>ул. Московская, д. 1</t>
  </si>
  <si>
    <t>ул. Московская, д. 5Б</t>
  </si>
  <si>
    <t>ул. Московская, д. 10</t>
  </si>
  <si>
    <t>ул. Советская, д. 1</t>
  </si>
  <si>
    <t>ул. Советская, д. 2</t>
  </si>
  <si>
    <t>ул. Советская, д. 3</t>
  </si>
  <si>
    <t>пер. Тверской, д. 3</t>
  </si>
  <si>
    <t>пер. Тверской, д. 4</t>
  </si>
  <si>
    <t>ул. Труда, д. 1</t>
  </si>
  <si>
    <t>ул. Труда, д. 5</t>
  </si>
  <si>
    <t>ул. Уварова, д. 3</t>
  </si>
  <si>
    <t>ул. М.Складская, д. 4</t>
  </si>
  <si>
    <t>ул. Октябрьская, д. 60</t>
  </si>
  <si>
    <t>ул. Половчени, д. 8</t>
  </si>
  <si>
    <t>ул. Половчени, д. 5А</t>
  </si>
  <si>
    <t>ул. Гагарина, д. 6</t>
  </si>
  <si>
    <t>ул. Карла Маркса, д. 3</t>
  </si>
  <si>
    <t>ул. Нечаева, д. 6</t>
  </si>
  <si>
    <t>ул. Нечаева, д. 23</t>
  </si>
  <si>
    <t>ул. Инженерная, д. 11/8</t>
  </si>
  <si>
    <t>ул. Остречинская, д. 5/7</t>
  </si>
  <si>
    <t>ул. Ленина, д. 40</t>
  </si>
  <si>
    <t>мкр. Заозерный, д. 15</t>
  </si>
  <si>
    <t>ш. Куженкинское, д. 47</t>
  </si>
  <si>
    <t>ш. Куженкинское, д. 48</t>
  </si>
  <si>
    <t>ш. Куженкинское, д. 49</t>
  </si>
  <si>
    <t>ул. Дзержинского, д. 44</t>
  </si>
  <si>
    <t>ул. Дзержинского, д. 46</t>
  </si>
  <si>
    <t>ул. Кирова, д. 2</t>
  </si>
  <si>
    <t>ул. Народная, д. 2</t>
  </si>
  <si>
    <t>ул. Народная, д. 3</t>
  </si>
  <si>
    <t>ул. 1-я Социалистическая, д. 1</t>
  </si>
  <si>
    <t>ул. Кирова, д. 53</t>
  </si>
  <si>
    <t>ул. Ленинская, д. 1</t>
  </si>
  <si>
    <t>мкр. Заводской, д. 4</t>
  </si>
  <si>
    <t>мкр. Западный, д. 5</t>
  </si>
  <si>
    <t>д. Корыхново, ул. Советская, д. 1</t>
  </si>
  <si>
    <t>д. Корыхново, ул. Советская, д. 2</t>
  </si>
  <si>
    <t>ул. Молодежная, д. 20</t>
  </si>
  <si>
    <t>ул. Промышленная, д. 26</t>
  </si>
  <si>
    <t>ул. Кирова, д. 43</t>
  </si>
  <si>
    <t>ул. Кирова, д. 29А</t>
  </si>
  <si>
    <t>ул. Кирова, д. 21</t>
  </si>
  <si>
    <t>п. Академический, ул. Октябрьская, д. 5 </t>
  </si>
  <si>
    <t>п. Академический, ул. Октябрьская, д. 19</t>
  </si>
  <si>
    <t>п. Солнечный, ул. Молодежная, д. 3</t>
  </si>
  <si>
    <t>п. Пригородный, ул. Ленинградская, д. 6</t>
  </si>
  <si>
    <t>п. Пригородный, ул. Мелиораторов, д. 8</t>
  </si>
  <si>
    <t>п. Терелесовский, ул. Рабочая, д. 6</t>
  </si>
  <si>
    <t>ул. Кирова, д. 31</t>
  </si>
  <si>
    <t>ул. Школьная, д. 7</t>
  </si>
  <si>
    <t>ул. Щербакова, д. 24</t>
  </si>
  <si>
    <t>ул. Имени В.И. Ленина, д. 4</t>
  </si>
  <si>
    <t>ул. Афанасия Никитина, д. 5</t>
  </si>
  <si>
    <t>ул. Советская, д. 20</t>
  </si>
  <si>
    <t>ул. Ленина, д. 15</t>
  </si>
  <si>
    <t>ул. Юбилейная, д. 4</t>
  </si>
  <si>
    <t>д. Квакшино, д. 9</t>
  </si>
  <si>
    <t>д. Квакшино, д. 12</t>
  </si>
  <si>
    <t>ж/д ст. Кузьминка, д.  3</t>
  </si>
  <si>
    <t>п. Эммаусс, д. 9А</t>
  </si>
  <si>
    <t>ул. Декабристов, д. 9</t>
  </si>
  <si>
    <t>ул. Декабристов, д. 3</t>
  </si>
  <si>
    <t>нп. Эммаусская школа-интернат, д. 2</t>
  </si>
  <si>
    <t>ул. Коминтерна, д. 58/17</t>
  </si>
  <si>
    <t>ул. Коминтерна, д. 19/28</t>
  </si>
  <si>
    <t>ул. Коминтерна, д. 74</t>
  </si>
  <si>
    <t>ул. Коммунистическая, д. 23А</t>
  </si>
  <si>
    <t>ул. К.Маркса, д. 32</t>
  </si>
  <si>
    <t>ул. Центральная, д. 10</t>
  </si>
  <si>
    <t>ул. Советская, д. 1/8</t>
  </si>
  <si>
    <t>ул. Песочная, д. 16/7</t>
  </si>
  <si>
    <t>ул. Заводская, д. 10</t>
  </si>
  <si>
    <t>ул. Заводская, д. 12</t>
  </si>
  <si>
    <t>ул. Ленина, д. 23</t>
  </si>
  <si>
    <t>ул. Ленина, д. 28А/10</t>
  </si>
  <si>
    <t>ул. Ленина, д. 40/34</t>
  </si>
  <si>
    <t>ул. 25 лет Октября, д. 3А</t>
  </si>
  <si>
    <t>ул. Николая Гоголя, д. 3А</t>
  </si>
  <si>
    <t>ул. Профсоюзов, д. 2А</t>
  </si>
  <si>
    <t>ул. Кашинская, д. 4</t>
  </si>
  <si>
    <t>ул. Парковая, д. 2А</t>
  </si>
  <si>
    <t>ул. Парковая, д. 7</t>
  </si>
  <si>
    <t>д. Радомино, д. 3</t>
  </si>
  <si>
    <t>п. Приволжский, ул. Песочная, д. 2</t>
  </si>
  <si>
    <t>пр-кт Ленина, д. 13А</t>
  </si>
  <si>
    <t>пр-кт Ленина, д. 23</t>
  </si>
  <si>
    <t xml:space="preserve">ул. Набережная Волги, д. 38 </t>
  </si>
  <si>
    <t>ул. Васильковского, д. 29</t>
  </si>
  <si>
    <t>ул. Баскакова, д. 17</t>
  </si>
  <si>
    <t>ул. Баскакова, д. 19</t>
  </si>
  <si>
    <t>ул. Васильковского, д. 3</t>
  </si>
  <si>
    <t>пр-кт Ленина, д. 1</t>
  </si>
  <si>
    <t>пр-кт Ленина, д. 38</t>
  </si>
  <si>
    <t>ул. Горького, д. 3А</t>
  </si>
  <si>
    <t>ул. Прядильщиков, д. 8</t>
  </si>
  <si>
    <t>ул. Прядильщиков, д. 14</t>
  </si>
  <si>
    <t>ул. Фадеева, д. 5</t>
  </si>
  <si>
    <t>ул. Фадеева, д. 6</t>
  </si>
  <si>
    <t>ул. Геофизиков, д. 8</t>
  </si>
  <si>
    <t>ул. Парковая,  д. 11А</t>
  </si>
  <si>
    <t>пр-кт Химиков, д. 28А</t>
  </si>
  <si>
    <t>наб. Афанасия Никитина, д. 24А</t>
  </si>
  <si>
    <t>с. Дмитрова Гора, ул. Новая, д. 2</t>
  </si>
  <si>
    <t>д. Мокшино, ул. Ленинградская д. 6</t>
  </si>
  <si>
    <t>д. Мокшино, ул. Ленинградская, д. 7</t>
  </si>
  <si>
    <t>д. Мокшино, ул. Ленинградская, д. 8</t>
  </si>
  <si>
    <t>с. Завидово, ул. Школьная, д. 3</t>
  </si>
  <si>
    <t>ул. Мясникова, д. 36А</t>
  </si>
  <si>
    <t>ул. Базарная, д. 67</t>
  </si>
  <si>
    <t>ул. Октябрьская, д. 11</t>
  </si>
  <si>
    <t>ул. Бумажников, д. 4</t>
  </si>
  <si>
    <t>ул. Экономическая, д. 11</t>
  </si>
  <si>
    <t>ул. Бумажников, д. 10</t>
  </si>
  <si>
    <t xml:space="preserve">ул. Карла Маркса, д. 23 </t>
  </si>
  <si>
    <t>ул. Карла Маркса, д. 31</t>
  </si>
  <si>
    <t>ул. Карла Маркса, д. 33</t>
  </si>
  <si>
    <t>ул. Первомайская, д. 21</t>
  </si>
  <si>
    <t>ул. Первомайская, д. 26</t>
  </si>
  <si>
    <t>пер. Советский, д. 15</t>
  </si>
  <si>
    <t xml:space="preserve">ул. Карла Маркса, д. 27 </t>
  </si>
  <si>
    <t xml:space="preserve">ул. Карла Маркса, д. 35 </t>
  </si>
  <si>
    <t xml:space="preserve">ул. Школьная, д. 2 </t>
  </si>
  <si>
    <t xml:space="preserve">ул. Школьная, д. 3 </t>
  </si>
  <si>
    <t>ул. Ленина, д. 37</t>
  </si>
  <si>
    <t>пр-кт Ленина, д. 4</t>
  </si>
  <si>
    <t>ул. Лесная, д. 6А</t>
  </si>
  <si>
    <t>ул. Рябочкина, д. 38А</t>
  </si>
  <si>
    <t>ул. Советская, д. 11</t>
  </si>
  <si>
    <t>ул. Советская, д. 58</t>
  </si>
  <si>
    <t>ул. Микрорайон, д. 4</t>
  </si>
  <si>
    <t xml:space="preserve">ул. Льнозаводская, д. 44 </t>
  </si>
  <si>
    <t>ул. Иванцова, д. 9</t>
  </si>
  <si>
    <t>ул. Мира, д. 28Б</t>
  </si>
  <si>
    <t>ул. Адмирала Октябрьского, д. 5</t>
  </si>
  <si>
    <t>ул. Вагжанова, д. 19</t>
  </si>
  <si>
    <t>п. Мирный, ул. Советская, д. 2</t>
  </si>
  <si>
    <t>д. Рудниково, д. 66</t>
  </si>
  <si>
    <t xml:space="preserve"> ул. Богдановича, д. 19А</t>
  </si>
  <si>
    <t xml:space="preserve"> ул. Советская, д. 130С</t>
  </si>
  <si>
    <t xml:space="preserve"> ул. Красноармейская, д. 6А</t>
  </si>
  <si>
    <t>г. Удомля, ул. Автодорожная, д. 2/1</t>
  </si>
  <si>
    <t>г. Удомля, ул. Космонавтов, д. 9</t>
  </si>
  <si>
    <t>г. Удомля, ул. Попова, д. 21</t>
  </si>
  <si>
    <t>г. Удомля, ул. Венецианова, д. 3</t>
  </si>
  <si>
    <t>г. Удомля, ул. Космонавтов, д. 5</t>
  </si>
  <si>
    <t>г. Удомля, ул. Космонавтов, д. 7</t>
  </si>
  <si>
    <t>г. Удомля, ул. Венецианова, д. 9</t>
  </si>
  <si>
    <t>г. Удомля, ул. Энтузиастов, д. 2/8</t>
  </si>
  <si>
    <t>г. Удомля, ул. Энтузиастов, д. 16</t>
  </si>
  <si>
    <t>ул. Советская, д. 17</t>
  </si>
  <si>
    <t>ул. Кооперативная, д. 7</t>
  </si>
  <si>
    <t>пр-кт Ленина, д. 9</t>
  </si>
  <si>
    <t>пр-кт Ленина, д. 13</t>
  </si>
  <si>
    <t>пр-кт Ленина, д. 7/15</t>
  </si>
  <si>
    <t>ул. Пионерская, д. 4А</t>
  </si>
  <si>
    <t>ул. Кузьмина, д. 7</t>
  </si>
  <si>
    <t>ул. Октябрьская, д. 2</t>
  </si>
  <si>
    <t>ул. Октябрьская, д. 14</t>
  </si>
  <si>
    <t>ул. Ленина, д. 61</t>
  </si>
  <si>
    <t>ул. Ленина, д. 50/2</t>
  </si>
  <si>
    <t>ул. Школьная, д. 13</t>
  </si>
  <si>
    <t>ул. Карла Маркса, д. 13</t>
  </si>
  <si>
    <t>ул. Карла Маркса, д. 4</t>
  </si>
  <si>
    <t>ул. Ленина, д. 56</t>
  </si>
  <si>
    <t>ул. Строителей, д. 2А</t>
  </si>
  <si>
    <t xml:space="preserve">ремонт фасада
</t>
  </si>
  <si>
    <t>Краткосрочный план</t>
  </si>
  <si>
    <t>руб/кв. м</t>
  </si>
  <si>
    <t>Виды, установленные нормативным правовым актом субъекта РФ</t>
  </si>
  <si>
    <t>всего</t>
  </si>
  <si>
    <t>Количество жителей, зарегистрированных в МКД 
на дату утверждения краткосрочного плана</t>
  </si>
  <si>
    <t>Адрес многоквартирного дома 
(далее - МКД)</t>
  </si>
  <si>
    <t>ул. Октябрьская, д. 59</t>
  </si>
  <si>
    <t>наб. Рядового Николаева, д. 9</t>
  </si>
  <si>
    <t>ул. Красноармейская, д. 6</t>
  </si>
  <si>
    <t>ул. Тургенева, д. 16/29</t>
  </si>
  <si>
    <r>
      <t>п. Приволжский, ул. Песочная, д.</t>
    </r>
    <r>
      <rPr>
        <sz val="11"/>
        <color theme="1"/>
        <rFont val="Calibri"/>
        <family val="2"/>
        <charset val="204"/>
      </rPr>
      <t> </t>
    </r>
    <r>
      <rPr>
        <sz val="11"/>
        <color theme="1"/>
        <rFont val="Times New Roman"/>
        <family val="1"/>
        <charset val="204"/>
      </rPr>
      <t>2</t>
    </r>
  </si>
  <si>
    <t>пр-кт Ленина, д. 13 А</t>
  </si>
  <si>
    <t>с. Ильинское, ул. Мира, д. 1</t>
  </si>
  <si>
    <t>ул. Советская, д. 21</t>
  </si>
  <si>
    <t>г. Удомля, пр-кт Курчатова, д. 5</t>
  </si>
  <si>
    <t>г. Удомля, пр-кт Курчатова, д. 12</t>
  </si>
  <si>
    <r>
      <t>ул. Зинаиды Коноплянниковой, д.</t>
    </r>
    <r>
      <rPr>
        <sz val="12"/>
        <color indexed="8"/>
        <rFont val="Calibri"/>
        <family val="2"/>
        <charset val="204"/>
      </rPr>
      <t> </t>
    </r>
    <r>
      <rPr>
        <sz val="12"/>
        <color indexed="8"/>
        <rFont val="Times New Roman"/>
        <family val="1"/>
        <charset val="204"/>
      </rPr>
      <t>14</t>
    </r>
  </si>
  <si>
    <r>
      <t>ул. Евгения Пичугина, д. 21, корп.</t>
    </r>
    <r>
      <rPr>
        <sz val="12"/>
        <color indexed="8"/>
        <rFont val="Calibri"/>
        <family val="2"/>
        <charset val="204"/>
      </rPr>
      <t> </t>
    </r>
    <r>
      <rPr>
        <sz val="12"/>
        <color indexed="8"/>
        <rFont val="Times New Roman"/>
        <family val="1"/>
        <charset val="204"/>
      </rPr>
      <t>3</t>
    </r>
  </si>
  <si>
    <r>
      <t>ул. Зинаиды Коноплянниковой, д.</t>
    </r>
    <r>
      <rPr>
        <sz val="12"/>
        <color indexed="8"/>
        <rFont val="Calibri"/>
        <family val="2"/>
        <charset val="204"/>
      </rPr>
      <t> </t>
    </r>
    <r>
      <rPr>
        <sz val="12"/>
        <color indexed="8"/>
        <rFont val="Times New Roman"/>
        <family val="1"/>
        <charset val="204"/>
      </rPr>
      <t>19, корп. 2</t>
    </r>
  </si>
  <si>
    <r>
      <t>ул. Паши Савельевой, д. 39, корп.</t>
    </r>
    <r>
      <rPr>
        <sz val="12"/>
        <color indexed="8"/>
        <rFont val="Calibri"/>
        <family val="2"/>
        <charset val="204"/>
      </rPr>
      <t> </t>
    </r>
    <r>
      <rPr>
        <sz val="12"/>
        <color indexed="8"/>
        <rFont val="Times New Roman"/>
        <family val="1"/>
        <charset val="204"/>
      </rPr>
      <t>3</t>
    </r>
  </si>
  <si>
    <t>ул. Скворцова-Степанова, д. 10</t>
  </si>
  <si>
    <t>ул. Паши Савельевой, д. 39, корп. 3</t>
  </si>
  <si>
    <t>п. Академический, ул. Октябрьская, д. 5 </t>
  </si>
  <si>
    <t>п. Академический, ул. Октябрьская, д. 19</t>
  </si>
  <si>
    <t>п. Пригородный, ул. Ленинградская, д. 6</t>
  </si>
  <si>
    <t>п. Терелесовский, ул. Рабочая, д. 6</t>
  </si>
  <si>
    <t>с. Погорелое Городище, ул. Советская, д. 6</t>
  </si>
  <si>
    <t>с. Дмитрова Гора, ул. Новая, д. 2</t>
  </si>
  <si>
    <t>д. Мокшино, ул. Ленинградская д. 6</t>
  </si>
  <si>
    <t>д. Мокшино, ул. Ленинградская, д. 7</t>
  </si>
  <si>
    <t>д. Мокшино, ул. Ленинградская, д. 8</t>
  </si>
  <si>
    <r>
      <t>ул. Евгения Пичугина, д. 21, корп.</t>
    </r>
    <r>
      <rPr>
        <sz val="11"/>
        <rFont val="Calibri"/>
        <family val="2"/>
        <charset val="204"/>
      </rPr>
      <t> </t>
    </r>
    <r>
      <rPr>
        <sz val="11"/>
        <rFont val="Times New Roman"/>
        <family val="1"/>
        <charset val="204"/>
      </rPr>
      <t>3</t>
    </r>
  </si>
  <si>
    <r>
      <t>ул. Екатерины Фарафоновой, д.</t>
    </r>
    <r>
      <rPr>
        <sz val="11"/>
        <rFont val="Calibri"/>
        <family val="2"/>
        <charset val="204"/>
      </rPr>
      <t> </t>
    </r>
    <r>
      <rPr>
        <sz val="11"/>
        <rFont val="Times New Roman"/>
        <family val="1"/>
        <charset val="204"/>
      </rPr>
      <t>37</t>
    </r>
  </si>
  <si>
    <r>
      <t>ул. Зинаиды Коноплянниковой, д.</t>
    </r>
    <r>
      <rPr>
        <sz val="11"/>
        <rFont val="Calibri"/>
        <family val="2"/>
        <charset val="204"/>
      </rPr>
      <t> </t>
    </r>
    <r>
      <rPr>
        <sz val="11"/>
        <rFont val="Times New Roman"/>
        <family val="1"/>
        <charset val="204"/>
      </rPr>
      <t>14</t>
    </r>
  </si>
  <si>
    <r>
      <t>ул. Зинаиды Коноплянниковой, д.</t>
    </r>
    <r>
      <rPr>
        <sz val="11"/>
        <rFont val="Calibri"/>
        <family val="2"/>
        <charset val="204"/>
      </rPr>
      <t> </t>
    </r>
    <r>
      <rPr>
        <sz val="11"/>
        <rFont val="Times New Roman"/>
        <family val="1"/>
        <charset val="204"/>
      </rPr>
      <t>19, корп. 2</t>
    </r>
  </si>
  <si>
    <r>
      <t>п. Пригородный, ул.</t>
    </r>
    <r>
      <rPr>
        <sz val="11"/>
        <color theme="1"/>
        <rFont val="Calibri"/>
        <family val="2"/>
        <charset val="204"/>
      </rPr>
      <t> </t>
    </r>
    <r>
      <rPr>
        <sz val="11"/>
        <color theme="1"/>
        <rFont val="Times New Roman"/>
        <family val="1"/>
        <charset val="204"/>
      </rPr>
      <t>Мелиораторов, д. 8</t>
    </r>
  </si>
  <si>
    <r>
      <t>нп. Эммаусская школа-интернат, д.</t>
    </r>
    <r>
      <rPr>
        <sz val="11"/>
        <color theme="1"/>
        <rFont val="Calibri"/>
        <family val="2"/>
        <charset val="204"/>
      </rPr>
      <t> </t>
    </r>
    <r>
      <rPr>
        <sz val="11"/>
        <color theme="1"/>
        <rFont val="Times New Roman"/>
        <family val="1"/>
        <charset val="204"/>
      </rPr>
      <t>2</t>
    </r>
  </si>
  <si>
    <r>
      <t>д. Гаврилково, ул. Молодежная, д.</t>
    </r>
    <r>
      <rPr>
        <sz val="11"/>
        <color theme="1"/>
        <rFont val="Calibri"/>
        <family val="2"/>
        <charset val="204"/>
      </rPr>
      <t> </t>
    </r>
    <r>
      <rPr>
        <sz val="11"/>
        <color theme="1"/>
        <rFont val="Times New Roman"/>
        <family val="1"/>
        <charset val="204"/>
      </rPr>
      <t>9</t>
    </r>
  </si>
  <si>
    <r>
      <t>с. Погорелое Городище, ул.</t>
    </r>
    <r>
      <rPr>
        <sz val="12"/>
        <color indexed="8"/>
        <rFont val="Calibri"/>
        <family val="2"/>
        <charset val="204"/>
      </rPr>
      <t> </t>
    </r>
    <r>
      <rPr>
        <sz val="12"/>
        <color indexed="8"/>
        <rFont val="Times New Roman"/>
        <family val="1"/>
        <charset val="204"/>
      </rPr>
      <t>Советская, д. 6</t>
    </r>
  </si>
  <si>
    <r>
      <t>п. Солнечный, ул. Молодежная, д.</t>
    </r>
    <r>
      <rPr>
        <sz val="11"/>
        <color theme="1"/>
        <rFont val="Calibri"/>
        <family val="2"/>
        <charset val="204"/>
      </rPr>
      <t> </t>
    </r>
    <r>
      <rPr>
        <sz val="11"/>
        <color theme="1"/>
        <rFont val="Times New Roman"/>
        <family val="1"/>
        <charset val="204"/>
      </rPr>
      <t>3</t>
    </r>
  </si>
  <si>
    <r>
      <t>г. Удомля, ул. Автодорожная, д.</t>
    </r>
    <r>
      <rPr>
        <sz val="11"/>
        <color theme="1"/>
        <rFont val="Calibri"/>
        <family val="2"/>
        <charset val="204"/>
      </rPr>
      <t> </t>
    </r>
    <r>
      <rPr>
        <sz val="11"/>
        <color theme="1"/>
        <rFont val="Times New Roman"/>
        <family val="1"/>
        <charset val="204"/>
      </rPr>
      <t>2/1</t>
    </r>
  </si>
  <si>
    <t>Стоимость капитального ремонта,
всего</t>
  </si>
  <si>
    <t>Общая площадь МКД, 
всего</t>
  </si>
  <si>
    <r>
      <t>д. Гаврилково, ул. Молодежная, д.</t>
    </r>
    <r>
      <rPr>
        <sz val="12"/>
        <color theme="1"/>
        <rFont val="Calibri"/>
        <family val="2"/>
        <charset val="204"/>
      </rPr>
      <t> </t>
    </r>
    <r>
      <rPr>
        <sz val="12"/>
        <color theme="1"/>
        <rFont val="Times New Roman"/>
        <family val="1"/>
        <charset val="204"/>
      </rPr>
      <t>9</t>
    </r>
  </si>
  <si>
    <t>проезд Карпинского 1-й, д. 4</t>
  </si>
  <si>
    <t>проезд Розы Люксембург 1-й, д. 6</t>
  </si>
  <si>
    <t>ул. Грибоедова 2-я, д. 8/1</t>
  </si>
  <si>
    <t>ул. Пролетарская 6-я, д. 17</t>
  </si>
  <si>
    <t>реализации в 2016 году региональной программы по проведению капитального ремонта общего имущества</t>
  </si>
  <si>
    <t>в многоквартирных домах на территории Тверской области на 2014-2043 годы</t>
  </si>
  <si>
    <t>пр-кт Победы, д. 22/15</t>
  </si>
  <si>
    <t>ул. Артюхиной, д. 7</t>
  </si>
  <si>
    <t>Итого по муниципальному образованию Тверской области (далее - МО) город Тверь</t>
  </si>
  <si>
    <t>Итого по МО городское поселение город Андреаполь</t>
  </si>
  <si>
    <t>Итого по МО город Вышний Волочек</t>
  </si>
  <si>
    <t>Итого по МО город Кимры</t>
  </si>
  <si>
    <t>Итого по МО город Ржев</t>
  </si>
  <si>
    <t>Итого по МО город Торжок</t>
  </si>
  <si>
    <t>Итого по МО ЗАТО Озерный</t>
  </si>
  <si>
    <t>Итого по МО городское поселение город Бежецк</t>
  </si>
  <si>
    <t>Итого по МО городское поселение город Белый</t>
  </si>
  <si>
    <t>Итого по МО городское поселение город Весьегонск</t>
  </si>
  <si>
    <t>Итого по МО городское поселение поселок Красномайский</t>
  </si>
  <si>
    <t>Итого по МО Коломенское сельское поселение</t>
  </si>
  <si>
    <t>Итого по МО Солнечное сельское поселение</t>
  </si>
  <si>
    <t>Итого по МО Сорокинское сельское поселение</t>
  </si>
  <si>
    <t>Итого по МО Терелесовское  сельское поселение</t>
  </si>
  <si>
    <t>Итого по МО городское поселение город Западная Двина</t>
  </si>
  <si>
    <t>Итого по МО городское поселение город Зубцов</t>
  </si>
  <si>
    <t>Итого по МО Погорельское сельское поселение</t>
  </si>
  <si>
    <t>Итого по МО городское поселение поселок Орша</t>
  </si>
  <si>
    <t>Итого по МО Верхневолжское сельское поселение</t>
  </si>
  <si>
    <t>Итого по МО Щербининское сельское поселение</t>
  </si>
  <si>
    <t>Итого по МО Эммаусское сельское поселение</t>
  </si>
  <si>
    <t>Итого по МО городское поселение город Калязин</t>
  </si>
  <si>
    <t>Итого по МО городское поселение город Кашин</t>
  </si>
  <si>
    <t>Итого по МО городское поселение поселок Белый Городок</t>
  </si>
  <si>
    <t>Итого по МО Быковское сельское поселение</t>
  </si>
  <si>
    <t>Итого по МО Приволжское сельское поселение</t>
  </si>
  <si>
    <t>Итого по МО городское поселение город Конаково</t>
  </si>
  <si>
    <t>Итого по МО городское поселение поселок Изоплит</t>
  </si>
  <si>
    <t>Итого по МО городское поселение поселок Козлово</t>
  </si>
  <si>
    <t>Итого по МО городское поселение поселок Редкино</t>
  </si>
  <si>
    <t>Итого по МО Козловское сельское поселение</t>
  </si>
  <si>
    <t>Итого по МО Дмитровогорское сельское поселение</t>
  </si>
  <si>
    <t>Итого по МО сельское поселение «Завидово»</t>
  </si>
  <si>
    <t>Итого по МО городское поселение город Красный Холм</t>
  </si>
  <si>
    <t>Итого по МО городское поселение город Кувшиново</t>
  </si>
  <si>
    <t>Итого по МО городское поселение город Лихославль</t>
  </si>
  <si>
    <t>Итого по МО городское поселение поселок Калашниково</t>
  </si>
  <si>
    <t>Итого по МО Ильинское сельское поселение</t>
  </si>
  <si>
    <t>Итого по МО городское поселение поселок Максатиха</t>
  </si>
  <si>
    <t>Итого по МО городское поселение город Нелидово</t>
  </si>
  <si>
    <t xml:space="preserve">Итого по МО городское поселение город Осташков </t>
  </si>
  <si>
    <t>Итого по МО городское поселение поселок Пено</t>
  </si>
  <si>
    <t>Итого по МО городское поселение поселок Рамешки</t>
  </si>
  <si>
    <t>Итого по МО городское поселение поселок Сандово</t>
  </si>
  <si>
    <t>Итого по МО городское поселение поселок Селижарово</t>
  </si>
  <si>
    <t>Итого по МО городское поселение город Старица</t>
  </si>
  <si>
    <t>Итого по МО Мирновское сельское поселение</t>
  </si>
  <si>
    <t>Итого по МО Рудниковское сельское поселение</t>
  </si>
  <si>
    <t>Итого по МО городское поселение город Торопец</t>
  </si>
  <si>
    <t>Итого по МО городское поселение поселок Фирово</t>
  </si>
  <si>
    <t>Итого по МО городское поселение поселок Великооктябрьский</t>
  </si>
  <si>
    <t>Итого по МО городское поселение поселок Оленино</t>
  </si>
  <si>
    <t>Итого по МО Мостовское сельское поселение</t>
  </si>
  <si>
    <t>Итого по МО город Тверь</t>
  </si>
  <si>
    <t>Итого по МО городское поселение поселок Жарковский</t>
  </si>
  <si>
    <t>Итого по МО Валдайское сельское поселение</t>
  </si>
  <si>
    <t>Итого по МО городское поселение город Бологое</t>
  </si>
  <si>
    <t>ул. Маршала Буденного, д. 19/1</t>
  </si>
  <si>
    <t xml:space="preserve">ул. Маршала Буденного, д. 4 </t>
  </si>
  <si>
    <t>пр-кт Казанский, д. 44</t>
  </si>
  <si>
    <t>ул. Комсомольская, д. 14</t>
  </si>
  <si>
    <t>ул. Комсомольская, д. 16</t>
  </si>
  <si>
    <t>ул. им. Василенкова, д. 21</t>
  </si>
  <si>
    <t>ул. им. Смирнова, д. 12</t>
  </si>
  <si>
    <t>Приме-чание</t>
  </si>
  <si>
    <t>Количество жителей, зарегистри-рованных в МКД на дату утверждения краткосрочного плана</t>
  </si>
  <si>
    <t>к постановлению Правительства 
Тверской области 
от 24.02.2016 № 82-пп</t>
  </si>
  <si>
    <t xml:space="preserve">Тверской области </t>
  </si>
  <si>
    <t>от 14.06.2016 № 209-пп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</si>
</sst>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0.00000"/>
    <numFmt numFmtId="165" formatCode="#,##0.00_р_."/>
    <numFmt numFmtId="166" formatCode="\ #,##0.00&quot;    &quot;;\-#,##0.00&quot;    &quot;;&quot; -&quot;#&quot;    &quot;;@\ "/>
    <numFmt numFmtId="167" formatCode="\ #,##0&quot;    &quot;;\-#,##0&quot;    &quot;;&quot; -&quot;#&quot;    &quot;;@\ "/>
    <numFmt numFmtId="168" formatCode="#,##0.00_ ;\-#,##0.00\ "/>
    <numFmt numFmtId="169" formatCode="#,##0.0"/>
  </numFmts>
  <fonts count="4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name val="Arial"/>
      <family val="2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Times New Roman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1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color theme="1"/>
      <name val="Calibri"/>
      <family val="2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</cellStyleXfs>
  <cellXfs count="330">
    <xf numFmtId="0" fontId="0" fillId="0" borderId="0" xfId="0"/>
    <xf numFmtId="0" fontId="0" fillId="2" borderId="0" xfId="0" applyFont="1" applyFill="1"/>
    <xf numFmtId="0" fontId="5" fillId="2" borderId="0" xfId="0" applyFont="1" applyFill="1"/>
    <xf numFmtId="0" fontId="0" fillId="2" borderId="0" xfId="0" applyFill="1"/>
    <xf numFmtId="0" fontId="13" fillId="2" borderId="0" xfId="0" applyFont="1" applyFill="1"/>
    <xf numFmtId="0" fontId="15" fillId="2" borderId="0" xfId="0" applyFont="1" applyFill="1"/>
    <xf numFmtId="0" fontId="0" fillId="2" borderId="0" xfId="0" applyFont="1" applyFill="1" applyBorder="1"/>
    <xf numFmtId="0" fontId="26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164" fontId="5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164" fontId="0" fillId="2" borderId="0" xfId="0" applyNumberFormat="1" applyFont="1" applyFill="1" applyAlignment="1">
      <alignment horizontal="right" vertical="center" wrapText="1"/>
    </xf>
    <xf numFmtId="0" fontId="12" fillId="2" borderId="0" xfId="0" applyFont="1" applyFill="1"/>
    <xf numFmtId="0" fontId="0" fillId="2" borderId="0" xfId="0" applyFont="1" applyFill="1" applyAlignment="1"/>
    <xf numFmtId="0" fontId="0" fillId="2" borderId="0" xfId="0" applyFont="1" applyFill="1" applyAlignment="1">
      <alignment vertical="center"/>
    </xf>
    <xf numFmtId="0" fontId="10" fillId="2" borderId="0" xfId="0" applyFont="1" applyFill="1"/>
    <xf numFmtId="0" fontId="17" fillId="2" borderId="0" xfId="0" applyFont="1" applyFill="1" applyAlignment="1">
      <alignment horizontal="center" vertical="center"/>
    </xf>
    <xf numFmtId="0" fontId="17" fillId="2" borderId="0" xfId="0" applyFont="1" applyFill="1"/>
    <xf numFmtId="0" fontId="0" fillId="2" borderId="0" xfId="0" applyNumberFormat="1" applyFont="1" applyFill="1"/>
    <xf numFmtId="0" fontId="0" fillId="2" borderId="0" xfId="0" applyFont="1" applyFill="1" applyAlignment="1">
      <alignment horizontal="center" vertical="center"/>
    </xf>
    <xf numFmtId="4" fontId="0" fillId="2" borderId="0" xfId="0" applyNumberFormat="1" applyFont="1" applyFill="1"/>
    <xf numFmtId="0" fontId="1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wrapText="1"/>
    </xf>
    <xf numFmtId="0" fontId="6" fillId="2" borderId="0" xfId="0" applyFont="1" applyFill="1" applyAlignment="1">
      <alignment horizontal="right" vertical="top" wrapText="1"/>
    </xf>
    <xf numFmtId="0" fontId="20" fillId="2" borderId="0" xfId="0" applyFont="1" applyFill="1"/>
    <xf numFmtId="0" fontId="12" fillId="2" borderId="0" xfId="0" applyFont="1" applyFill="1" applyAlignment="1"/>
    <xf numFmtId="0" fontId="12" fillId="2" borderId="0" xfId="0" applyFont="1" applyFill="1" applyAlignment="1">
      <alignment horizontal="center"/>
    </xf>
    <xf numFmtId="4" fontId="5" fillId="2" borderId="0" xfId="0" applyNumberFormat="1" applyFont="1" applyFill="1"/>
    <xf numFmtId="164" fontId="8" fillId="2" borderId="0" xfId="0" applyNumberFormat="1" applyFont="1" applyFill="1" applyAlignment="1">
      <alignment wrapText="1"/>
    </xf>
    <xf numFmtId="4" fontId="5" fillId="2" borderId="0" xfId="0" applyNumberFormat="1" applyFont="1" applyFill="1" applyAlignment="1">
      <alignment horizontal="right" vertical="center" wrapText="1"/>
    </xf>
    <xf numFmtId="4" fontId="5" fillId="2" borderId="0" xfId="0" applyNumberFormat="1" applyFont="1" applyFill="1" applyAlignment="1">
      <alignment wrapText="1"/>
    </xf>
    <xf numFmtId="0" fontId="2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/>
    <xf numFmtId="0" fontId="17" fillId="0" borderId="0" xfId="0" applyFont="1"/>
    <xf numFmtId="0" fontId="17" fillId="0" borderId="0" xfId="0" applyFont="1" applyBorder="1"/>
    <xf numFmtId="0" fontId="0" fillId="0" borderId="0" xfId="0" applyFont="1" applyFill="1" applyAlignment="1">
      <alignment wrapText="1"/>
    </xf>
    <xf numFmtId="0" fontId="27" fillId="2" borderId="0" xfId="9" applyFont="1" applyFill="1"/>
    <xf numFmtId="0" fontId="0" fillId="2" borderId="0" xfId="0" applyFont="1" applyFill="1" applyAlignment="1">
      <alignment horizontal="left"/>
    </xf>
    <xf numFmtId="0" fontId="28" fillId="2" borderId="0" xfId="0" applyFont="1" applyFill="1"/>
    <xf numFmtId="0" fontId="16" fillId="2" borderId="0" xfId="0" applyFont="1" applyFill="1"/>
    <xf numFmtId="169" fontId="0" fillId="2" borderId="0" xfId="0" applyNumberFormat="1" applyFont="1" applyFill="1"/>
    <xf numFmtId="169" fontId="5" fillId="2" borderId="0" xfId="0" applyNumberFormat="1" applyFont="1" applyFill="1"/>
    <xf numFmtId="169" fontId="5" fillId="2" borderId="0" xfId="0" applyNumberFormat="1" applyFont="1" applyFill="1" applyAlignment="1">
      <alignment horizontal="right" vertical="center" wrapText="1"/>
    </xf>
    <xf numFmtId="169" fontId="5" fillId="2" borderId="0" xfId="0" applyNumberFormat="1" applyFont="1" applyFill="1" applyAlignment="1">
      <alignment wrapText="1"/>
    </xf>
    <xf numFmtId="3" fontId="0" fillId="2" borderId="0" xfId="0" applyNumberFormat="1" applyFont="1" applyFill="1"/>
    <xf numFmtId="3" fontId="5" fillId="2" borderId="0" xfId="0" applyNumberFormat="1" applyFont="1" applyFill="1"/>
    <xf numFmtId="3" fontId="6" fillId="2" borderId="0" xfId="0" applyNumberFormat="1" applyFont="1" applyFill="1" applyAlignment="1">
      <alignment horizontal="right" vertical="top" wrapText="1"/>
    </xf>
    <xf numFmtId="3" fontId="5" fillId="2" borderId="0" xfId="0" applyNumberFormat="1" applyFont="1" applyFill="1" applyAlignment="1">
      <alignment horizontal="right" vertical="center" wrapText="1"/>
    </xf>
    <xf numFmtId="3" fontId="5" fillId="2" borderId="0" xfId="0" applyNumberFormat="1" applyFont="1" applyFill="1" applyAlignment="1">
      <alignment wrapText="1"/>
    </xf>
    <xf numFmtId="0" fontId="0" fillId="0" borderId="0" xfId="0" applyFont="1"/>
    <xf numFmtId="0" fontId="13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5" fillId="2" borderId="0" xfId="0" applyFont="1" applyFill="1" applyAlignment="1"/>
    <xf numFmtId="0" fontId="27" fillId="2" borderId="0" xfId="9" applyFont="1" applyFill="1" applyAlignment="1">
      <alignment horizontal="center"/>
    </xf>
    <xf numFmtId="0" fontId="0" fillId="2" borderId="0" xfId="0" applyFont="1" applyFill="1" applyAlignment="1">
      <alignment vertical="center" wrapText="1"/>
    </xf>
    <xf numFmtId="164" fontId="0" fillId="2" borderId="0" xfId="0" applyNumberFormat="1" applyFont="1" applyFill="1" applyAlignment="1">
      <alignment vertical="center" wrapText="1"/>
    </xf>
    <xf numFmtId="164" fontId="23" fillId="2" borderId="0" xfId="0" applyNumberFormat="1" applyFont="1" applyFill="1" applyAlignment="1">
      <alignment vertical="center" wrapText="1"/>
    </xf>
    <xf numFmtId="4" fontId="6" fillId="2" borderId="0" xfId="0" applyNumberFormat="1" applyFont="1" applyFill="1" applyAlignment="1">
      <alignment horizontal="right" vertical="top" wrapText="1"/>
    </xf>
    <xf numFmtId="4" fontId="7" fillId="2" borderId="0" xfId="0" applyNumberFormat="1" applyFont="1" applyFill="1" applyAlignment="1">
      <alignment vertical="center" wrapText="1"/>
    </xf>
    <xf numFmtId="4" fontId="7" fillId="2" borderId="0" xfId="0" applyNumberFormat="1" applyFont="1" applyFill="1" applyAlignment="1"/>
    <xf numFmtId="0" fontId="0" fillId="0" borderId="0" xfId="0" applyFont="1" applyFill="1"/>
    <xf numFmtId="0" fontId="0" fillId="0" borderId="0" xfId="0" applyFont="1" applyBorder="1" applyAlignment="1"/>
    <xf numFmtId="0" fontId="10" fillId="2" borderId="0" xfId="0" applyFont="1" applyFill="1" applyAlignment="1">
      <alignment vertical="center"/>
    </xf>
    <xf numFmtId="0" fontId="0" fillId="4" borderId="0" xfId="0" applyFont="1" applyFill="1"/>
    <xf numFmtId="0" fontId="14" fillId="2" borderId="1" xfId="0" applyFont="1" applyFill="1" applyBorder="1" applyAlignment="1">
      <alignment horizontal="center" vertical="center" textRotation="90" wrapText="1"/>
    </xf>
    <xf numFmtId="4" fontId="14" fillId="2" borderId="1" xfId="0" applyNumberFormat="1" applyFont="1" applyFill="1" applyBorder="1" applyAlignment="1">
      <alignment horizontal="center" vertical="center" textRotation="90" wrapText="1"/>
    </xf>
    <xf numFmtId="16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center" vertical="center" wrapText="1"/>
    </xf>
    <xf numFmtId="3" fontId="29" fillId="2" borderId="1" xfId="0" applyNumberFormat="1" applyFont="1" applyFill="1" applyBorder="1" applyAlignment="1">
      <alignment horizontal="center" vertical="center" wrapText="1"/>
    </xf>
    <xf numFmtId="4" fontId="29" fillId="2" borderId="1" xfId="8" applyNumberFormat="1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3" fontId="31" fillId="2" borderId="1" xfId="0" applyNumberFormat="1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 wrapText="1"/>
    </xf>
    <xf numFmtId="14" fontId="31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2" fontId="31" fillId="2" borderId="1" xfId="0" applyNumberFormat="1" applyFont="1" applyFill="1" applyBorder="1" applyAlignment="1">
      <alignment vertical="center"/>
    </xf>
    <xf numFmtId="49" fontId="31" fillId="2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3" fontId="31" fillId="0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 wrapText="1"/>
    </xf>
    <xf numFmtId="2" fontId="3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29" fillId="2" borderId="1" xfId="11" applyNumberFormat="1" applyFont="1" applyFill="1" applyBorder="1" applyAlignment="1">
      <alignment horizontal="left" vertical="center" wrapText="1"/>
    </xf>
    <xf numFmtId="165" fontId="29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4" fontId="31" fillId="0" borderId="1" xfId="8" applyNumberFormat="1" applyFont="1" applyFill="1" applyBorder="1" applyAlignment="1">
      <alignment horizontal="center" vertical="center"/>
    </xf>
    <xf numFmtId="2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/>
    </xf>
    <xf numFmtId="4" fontId="29" fillId="0" borderId="1" xfId="8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43" fontId="29" fillId="3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4" fontId="31" fillId="0" borderId="1" xfId="8" applyNumberFormat="1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Fill="1" applyBorder="1" applyAlignment="1">
      <alignment horizontal="center" vertical="center" wrapText="1"/>
    </xf>
    <xf numFmtId="2" fontId="31" fillId="3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4" fontId="31" fillId="0" borderId="1" xfId="0" applyNumberFormat="1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4" fontId="31" fillId="0" borderId="1" xfId="8" applyNumberFormat="1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4" fontId="31" fillId="2" borderId="1" xfId="9" applyNumberFormat="1" applyFont="1" applyFill="1" applyBorder="1" applyAlignment="1">
      <alignment horizontal="center" vertical="center"/>
    </xf>
    <xf numFmtId="3" fontId="3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29" fillId="2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2" borderId="1" xfId="1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4" fontId="32" fillId="2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center" vertical="center"/>
    </xf>
    <xf numFmtId="166" fontId="34" fillId="2" borderId="1" xfId="8" applyNumberFormat="1" applyFont="1" applyFill="1" applyBorder="1" applyAlignment="1" applyProtection="1">
      <alignment horizontal="left" vertical="center"/>
    </xf>
    <xf numFmtId="0" fontId="31" fillId="2" borderId="1" xfId="8" applyNumberFormat="1" applyFont="1" applyFill="1" applyBorder="1" applyAlignment="1" applyProtection="1">
      <alignment horizontal="center" vertical="center"/>
    </xf>
    <xf numFmtId="167" fontId="31" fillId="2" borderId="1" xfId="8" applyNumberFormat="1" applyFont="1" applyFill="1" applyBorder="1" applyAlignment="1" applyProtection="1">
      <alignment vertical="center"/>
    </xf>
    <xf numFmtId="4" fontId="31" fillId="2" borderId="1" xfId="8" applyNumberFormat="1" applyFont="1" applyFill="1" applyBorder="1" applyAlignment="1" applyProtection="1">
      <alignment horizontal="center" vertical="center"/>
    </xf>
    <xf numFmtId="4" fontId="34" fillId="2" borderId="1" xfId="8" applyNumberFormat="1" applyFont="1" applyFill="1" applyBorder="1" applyAlignment="1" applyProtection="1">
      <alignment horizontal="center" vertical="center"/>
    </xf>
    <xf numFmtId="4" fontId="34" fillId="2" borderId="1" xfId="8" applyNumberFormat="1" applyFont="1" applyFill="1" applyBorder="1" applyAlignment="1" applyProtection="1">
      <alignment vertical="center"/>
    </xf>
    <xf numFmtId="3" fontId="34" fillId="2" borderId="1" xfId="8" applyNumberFormat="1" applyFont="1" applyFill="1" applyBorder="1" applyAlignment="1" applyProtection="1">
      <alignment horizontal="center" vertical="center"/>
    </xf>
    <xf numFmtId="0" fontId="31" fillId="2" borderId="1" xfId="8" applyNumberFormat="1" applyFont="1" applyFill="1" applyBorder="1" applyAlignment="1" applyProtection="1">
      <alignment horizontal="center" vertical="center" wrapText="1"/>
    </xf>
    <xf numFmtId="167" fontId="31" fillId="2" borderId="1" xfId="8" applyNumberFormat="1" applyFont="1" applyFill="1" applyBorder="1" applyAlignment="1" applyProtection="1">
      <alignment horizontal="center" vertical="center"/>
    </xf>
    <xf numFmtId="3" fontId="34" fillId="2" borderId="1" xfId="8" applyNumberFormat="1" applyFont="1" applyFill="1" applyBorder="1" applyAlignment="1" applyProtection="1">
      <alignment horizontal="center" vertical="center" wrapText="1"/>
    </xf>
    <xf numFmtId="4" fontId="31" fillId="2" borderId="1" xfId="0" applyNumberFormat="1" applyFont="1" applyFill="1" applyBorder="1" applyAlignment="1">
      <alignment horizontal="center" vertical="center" wrapText="1" shrinkToFit="1"/>
    </xf>
    <xf numFmtId="0" fontId="31" fillId="2" borderId="1" xfId="0" applyFont="1" applyFill="1" applyBorder="1" applyAlignment="1">
      <alignment horizontal="left" vertical="center" wrapText="1" shrinkToFit="1"/>
    </xf>
    <xf numFmtId="0" fontId="31" fillId="2" borderId="1" xfId="0" applyFont="1" applyFill="1" applyBorder="1" applyAlignment="1">
      <alignment horizontal="center" vertical="center" wrapText="1" shrinkToFit="1"/>
    </xf>
    <xf numFmtId="3" fontId="31" fillId="2" borderId="1" xfId="0" applyNumberFormat="1" applyFont="1" applyFill="1" applyBorder="1" applyAlignment="1">
      <alignment horizontal="center" vertical="center" wrapText="1" shrinkToFit="1"/>
    </xf>
    <xf numFmtId="0" fontId="31" fillId="2" borderId="1" xfId="0" applyFont="1" applyFill="1" applyBorder="1" applyAlignment="1">
      <alignment horizontal="left" vertical="center"/>
    </xf>
    <xf numFmtId="16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justify" vertical="center" wrapText="1"/>
    </xf>
    <xf numFmtId="169" fontId="31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3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justify" vertical="center" wrapText="1"/>
    </xf>
    <xf numFmtId="0" fontId="31" fillId="0" borderId="1" xfId="0" applyFont="1" applyFill="1" applyBorder="1" applyAlignment="1">
      <alignment vertical="center"/>
    </xf>
    <xf numFmtId="0" fontId="31" fillId="2" borderId="1" xfId="0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164" fontId="29" fillId="2" borderId="1" xfId="0" applyNumberFormat="1" applyFont="1" applyFill="1" applyBorder="1" applyAlignment="1">
      <alignment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3" fontId="19" fillId="2" borderId="1" xfId="8" applyFont="1" applyFill="1" applyBorder="1" applyAlignment="1">
      <alignment horizontal="center" vertical="center"/>
    </xf>
    <xf numFmtId="4" fontId="38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0" fontId="19" fillId="2" borderId="1" xfId="11" applyNumberFormat="1" applyFont="1" applyFill="1" applyBorder="1" applyAlignment="1">
      <alignment horizontal="left" vertical="center" wrapText="1"/>
    </xf>
    <xf numFmtId="4" fontId="17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4" fontId="19" fillId="3" borderId="1" xfId="8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4" fontId="17" fillId="0" borderId="1" xfId="8" applyNumberFormat="1" applyFont="1" applyBorder="1" applyAlignment="1">
      <alignment horizontal="center" vertical="center"/>
    </xf>
    <xf numFmtId="168" fontId="19" fillId="0" borderId="1" xfId="8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4" fontId="19" fillId="0" borderId="1" xfId="8" applyNumberFormat="1" applyFont="1" applyFill="1" applyBorder="1" applyAlignment="1">
      <alignment horizontal="center" vertical="center"/>
    </xf>
    <xf numFmtId="4" fontId="16" fillId="0" borderId="1" xfId="8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4" fontId="16" fillId="2" borderId="1" xfId="9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/>
    </xf>
    <xf numFmtId="169" fontId="10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NumberFormat="1" applyFont="1" applyFill="1" applyBorder="1" applyAlignment="1">
      <alignment horizontal="center" vertical="center"/>
    </xf>
    <xf numFmtId="3" fontId="3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/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6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0" fillId="2" borderId="0" xfId="0" applyNumberFormat="1" applyFont="1" applyFill="1" applyAlignment="1">
      <alignment horizontal="left" wrapText="1"/>
    </xf>
    <xf numFmtId="0" fontId="40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textRotation="90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4" fontId="14" fillId="2" borderId="1" xfId="0" applyNumberFormat="1" applyFont="1" applyFill="1" applyBorder="1" applyAlignment="1">
      <alignment horizontal="center" vertical="center" textRotation="90" wrapText="1"/>
    </xf>
    <xf numFmtId="3" fontId="14" fillId="2" borderId="1" xfId="0" applyNumberFormat="1" applyFont="1" applyFill="1" applyBorder="1" applyAlignment="1">
      <alignment horizontal="center" vertical="center" textRotation="90" wrapText="1"/>
    </xf>
    <xf numFmtId="4" fontId="40" fillId="2" borderId="0" xfId="0" applyNumberFormat="1" applyFont="1" applyFill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4" fontId="7" fillId="2" borderId="0" xfId="0" applyNumberFormat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4" fontId="14" fillId="2" borderId="1" xfId="0" applyNumberFormat="1" applyFont="1" applyFill="1" applyBorder="1" applyAlignment="1">
      <alignment horizontal="center" vertical="center" wrapText="1"/>
    </xf>
    <xf numFmtId="169" fontId="14" fillId="2" borderId="1" xfId="0" applyNumberFormat="1" applyFont="1" applyFill="1" applyBorder="1" applyAlignment="1">
      <alignment horizontal="center" vertical="center" textRotation="90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169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</cellXfs>
  <cellStyles count="12">
    <cellStyle name="Excel Built-in Normal 1" xfId="9"/>
    <cellStyle name="TableStyleLight1" xfId="10"/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_Лист1" xfId="11"/>
    <cellStyle name="Финансовый" xfId="8" builtinId="3"/>
  </cellStyles>
  <dxfs count="0"/>
  <tableStyles count="0" defaultTableStyle="TableStyleMedium2" defaultPivotStyle="PivotStyleLight16"/>
  <colors>
    <mruColors>
      <color rgb="FFFFFF66"/>
      <color rgb="FF99FFCC"/>
      <color rgb="FFCC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S702"/>
  <sheetViews>
    <sheetView view="pageBreakPreview" topLeftCell="A4" zoomScale="70" zoomScaleSheetLayoutView="70" workbookViewId="0">
      <pane ySplit="11" topLeftCell="A118" activePane="bottomLeft" state="frozen"/>
      <selection activeCell="A4" sqref="A4"/>
      <selection pane="bottomLeft" activeCell="A124" sqref="A124:XFD124"/>
    </sheetView>
  </sheetViews>
  <sheetFormatPr defaultColWidth="8.85546875" defaultRowHeight="18.75"/>
  <cols>
    <col min="1" max="1" width="5.28515625" style="9" customWidth="1"/>
    <col min="2" max="2" width="34.85546875" style="65" customWidth="1"/>
    <col min="3" max="3" width="9.28515625" style="2" customWidth="1"/>
    <col min="4" max="4" width="7.5703125" style="2" customWidth="1"/>
    <col min="5" max="5" width="14" style="2" customWidth="1"/>
    <col min="6" max="6" width="4.7109375" style="2" customWidth="1"/>
    <col min="7" max="7" width="5" style="2" customWidth="1"/>
    <col min="8" max="8" width="14.7109375" style="51" customWidth="1"/>
    <col min="9" max="9" width="12.28515625" style="2" customWidth="1"/>
    <col min="10" max="10" width="12.42578125" style="2" customWidth="1"/>
    <col min="11" max="11" width="12.42578125" style="55" customWidth="1"/>
    <col min="12" max="12" width="17.42578125" style="33" customWidth="1"/>
    <col min="13" max="13" width="11.28515625" style="2" customWidth="1"/>
    <col min="14" max="14" width="14.28515625" style="33" customWidth="1"/>
    <col min="15" max="15" width="16.7109375" style="33" customWidth="1"/>
    <col min="16" max="16" width="9.42578125" style="2" customWidth="1"/>
    <col min="17" max="17" width="10.7109375" style="33" customWidth="1"/>
    <col min="18" max="18" width="10.85546875" style="33" customWidth="1"/>
    <col min="19" max="19" width="12" style="2" customWidth="1"/>
    <col min="20" max="16384" width="8.85546875" style="2"/>
  </cols>
  <sheetData>
    <row r="1" spans="1:19">
      <c r="O1" s="297" t="s">
        <v>31</v>
      </c>
      <c r="P1" s="298"/>
      <c r="Q1" s="297"/>
      <c r="R1" s="297"/>
      <c r="S1" s="298"/>
    </row>
    <row r="2" spans="1:19">
      <c r="O2" s="297" t="s">
        <v>672</v>
      </c>
      <c r="P2" s="298"/>
      <c r="Q2" s="297"/>
      <c r="R2" s="297"/>
      <c r="S2" s="298"/>
    </row>
    <row r="3" spans="1:19">
      <c r="O3" s="297" t="s">
        <v>673</v>
      </c>
      <c r="P3" s="298"/>
      <c r="Q3" s="297"/>
      <c r="R3" s="297"/>
      <c r="S3" s="298"/>
    </row>
    <row r="4" spans="1:19">
      <c r="J4" s="29"/>
      <c r="K4" s="56"/>
      <c r="L4" s="68"/>
      <c r="M4" s="29"/>
      <c r="N4" s="69"/>
      <c r="O4" s="311" t="s">
        <v>674</v>
      </c>
      <c r="P4" s="312"/>
      <c r="Q4" s="311"/>
      <c r="R4" s="311"/>
      <c r="S4" s="312"/>
    </row>
    <row r="5" spans="1:19" ht="6.6" customHeight="1">
      <c r="J5" s="29"/>
      <c r="K5" s="56"/>
      <c r="L5" s="68"/>
      <c r="M5" s="29"/>
      <c r="N5" s="70"/>
      <c r="O5" s="313"/>
      <c r="P5" s="314"/>
      <c r="Q5" s="313"/>
      <c r="R5" s="313"/>
      <c r="S5" s="314"/>
    </row>
    <row r="6" spans="1:19">
      <c r="A6" s="307" t="s">
        <v>553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8"/>
      <c r="M6" s="307"/>
      <c r="N6" s="308"/>
      <c r="O6" s="308"/>
      <c r="P6" s="307"/>
      <c r="Q6" s="308"/>
      <c r="R6" s="308"/>
      <c r="S6" s="307"/>
    </row>
    <row r="7" spans="1:19">
      <c r="A7" s="307" t="s">
        <v>601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8"/>
      <c r="M7" s="307"/>
      <c r="N7" s="308"/>
      <c r="O7" s="308"/>
      <c r="P7" s="307"/>
      <c r="Q7" s="308"/>
      <c r="R7" s="308"/>
      <c r="S7" s="307"/>
    </row>
    <row r="8" spans="1:19">
      <c r="A8" s="307" t="s">
        <v>602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8"/>
      <c r="M8" s="307"/>
      <c r="N8" s="308"/>
      <c r="O8" s="308"/>
      <c r="P8" s="307"/>
      <c r="Q8" s="308"/>
      <c r="R8" s="308"/>
      <c r="S8" s="307"/>
    </row>
    <row r="9" spans="1:19" ht="14.45" customHeight="1">
      <c r="A9" s="307"/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8"/>
      <c r="M9" s="307"/>
      <c r="N9" s="308"/>
      <c r="O9" s="308"/>
      <c r="P9" s="307"/>
      <c r="Q9" s="308"/>
      <c r="R9" s="308"/>
      <c r="S9" s="307"/>
    </row>
    <row r="10" spans="1:19" ht="19.5" customHeight="1">
      <c r="A10" s="317" t="s">
        <v>38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8"/>
      <c r="M10" s="317"/>
      <c r="N10" s="318"/>
      <c r="O10" s="318"/>
      <c r="P10" s="317"/>
      <c r="Q10" s="318"/>
      <c r="R10" s="318"/>
      <c r="S10" s="317"/>
    </row>
    <row r="11" spans="1:19" ht="38.25" customHeight="1">
      <c r="A11" s="306" t="s">
        <v>0</v>
      </c>
      <c r="B11" s="306" t="s">
        <v>558</v>
      </c>
      <c r="C11" s="305" t="s">
        <v>1</v>
      </c>
      <c r="D11" s="305"/>
      <c r="E11" s="304" t="s">
        <v>2</v>
      </c>
      <c r="F11" s="304" t="s">
        <v>3</v>
      </c>
      <c r="G11" s="304" t="s">
        <v>4</v>
      </c>
      <c r="H11" s="316" t="s">
        <v>33</v>
      </c>
      <c r="I11" s="306" t="s">
        <v>5</v>
      </c>
      <c r="J11" s="306"/>
      <c r="K11" s="310" t="s">
        <v>557</v>
      </c>
      <c r="L11" s="315" t="s">
        <v>36</v>
      </c>
      <c r="M11" s="306"/>
      <c r="N11" s="315"/>
      <c r="O11" s="315"/>
      <c r="P11" s="306"/>
      <c r="Q11" s="309" t="s">
        <v>7</v>
      </c>
      <c r="R11" s="309" t="s">
        <v>8</v>
      </c>
      <c r="S11" s="303" t="s">
        <v>9</v>
      </c>
    </row>
    <row r="12" spans="1:19" ht="24.75" customHeight="1">
      <c r="A12" s="306"/>
      <c r="B12" s="306"/>
      <c r="C12" s="303" t="s">
        <v>10</v>
      </c>
      <c r="D12" s="303" t="s">
        <v>32</v>
      </c>
      <c r="E12" s="304"/>
      <c r="F12" s="304"/>
      <c r="G12" s="304"/>
      <c r="H12" s="316"/>
      <c r="I12" s="303" t="s">
        <v>11</v>
      </c>
      <c r="J12" s="303" t="s">
        <v>12</v>
      </c>
      <c r="K12" s="310"/>
      <c r="L12" s="309" t="s">
        <v>11</v>
      </c>
      <c r="M12" s="306" t="s">
        <v>18</v>
      </c>
      <c r="N12" s="315"/>
      <c r="O12" s="315"/>
      <c r="P12" s="306"/>
      <c r="Q12" s="309"/>
      <c r="R12" s="309"/>
      <c r="S12" s="303"/>
    </row>
    <row r="13" spans="1:19" ht="258" customHeight="1">
      <c r="A13" s="306"/>
      <c r="B13" s="306"/>
      <c r="C13" s="303"/>
      <c r="D13" s="303"/>
      <c r="E13" s="304"/>
      <c r="F13" s="304"/>
      <c r="G13" s="304"/>
      <c r="H13" s="316"/>
      <c r="I13" s="303"/>
      <c r="J13" s="303"/>
      <c r="K13" s="310"/>
      <c r="L13" s="309"/>
      <c r="M13" s="75" t="s">
        <v>13</v>
      </c>
      <c r="N13" s="76" t="s">
        <v>14</v>
      </c>
      <c r="O13" s="76" t="s">
        <v>15</v>
      </c>
      <c r="P13" s="75" t="s">
        <v>19</v>
      </c>
      <c r="Q13" s="309"/>
      <c r="R13" s="309"/>
      <c r="S13" s="303"/>
    </row>
    <row r="14" spans="1:19" ht="70.5" customHeight="1">
      <c r="A14" s="306"/>
      <c r="B14" s="306"/>
      <c r="C14" s="303"/>
      <c r="D14" s="303"/>
      <c r="E14" s="304"/>
      <c r="F14" s="304"/>
      <c r="G14" s="304"/>
      <c r="H14" s="77" t="s">
        <v>21</v>
      </c>
      <c r="I14" s="78" t="s">
        <v>21</v>
      </c>
      <c r="J14" s="78" t="s">
        <v>21</v>
      </c>
      <c r="K14" s="79" t="s">
        <v>16</v>
      </c>
      <c r="L14" s="80" t="s">
        <v>17</v>
      </c>
      <c r="M14" s="78" t="s">
        <v>17</v>
      </c>
      <c r="N14" s="80" t="s">
        <v>17</v>
      </c>
      <c r="O14" s="80" t="s">
        <v>17</v>
      </c>
      <c r="P14" s="78" t="s">
        <v>17</v>
      </c>
      <c r="Q14" s="80" t="s">
        <v>554</v>
      </c>
      <c r="R14" s="80" t="s">
        <v>554</v>
      </c>
      <c r="S14" s="303"/>
    </row>
    <row r="15" spans="1:19" s="63" customFormat="1">
      <c r="A15" s="81">
        <v>1</v>
      </c>
      <c r="B15" s="81">
        <v>2</v>
      </c>
      <c r="C15" s="82">
        <v>3</v>
      </c>
      <c r="D15" s="82">
        <v>4</v>
      </c>
      <c r="E15" s="82">
        <v>5</v>
      </c>
      <c r="F15" s="82">
        <v>6</v>
      </c>
      <c r="G15" s="82">
        <v>7</v>
      </c>
      <c r="H15" s="83">
        <v>8</v>
      </c>
      <c r="I15" s="82">
        <v>9</v>
      </c>
      <c r="J15" s="82">
        <v>10</v>
      </c>
      <c r="K15" s="84">
        <v>11</v>
      </c>
      <c r="L15" s="82">
        <v>12</v>
      </c>
      <c r="M15" s="82">
        <v>13</v>
      </c>
      <c r="N15" s="82">
        <v>14</v>
      </c>
      <c r="O15" s="82">
        <v>15</v>
      </c>
      <c r="P15" s="82">
        <v>16</v>
      </c>
      <c r="Q15" s="83">
        <v>17</v>
      </c>
      <c r="R15" s="82">
        <v>18</v>
      </c>
      <c r="S15" s="82">
        <v>19</v>
      </c>
    </row>
    <row r="16" spans="1:19" s="4" customFormat="1" ht="15.75" customHeight="1">
      <c r="A16" s="85"/>
      <c r="B16" s="302" t="s">
        <v>42</v>
      </c>
      <c r="C16" s="302"/>
      <c r="D16" s="302"/>
      <c r="E16" s="302"/>
      <c r="F16" s="302"/>
      <c r="G16" s="302"/>
      <c r="H16" s="86">
        <f t="shared" ref="H16:O16" si="0">H18+H504</f>
        <v>1162362.3600000001</v>
      </c>
      <c r="I16" s="86">
        <f t="shared" si="0"/>
        <v>993345.08999999985</v>
      </c>
      <c r="J16" s="86">
        <f t="shared" si="0"/>
        <v>887696.55999999994</v>
      </c>
      <c r="K16" s="87">
        <f t="shared" si="0"/>
        <v>41860</v>
      </c>
      <c r="L16" s="88">
        <f t="shared" si="0"/>
        <v>698421744.79999995</v>
      </c>
      <c r="M16" s="88">
        <f t="shared" si="0"/>
        <v>0</v>
      </c>
      <c r="N16" s="88">
        <f t="shared" si="0"/>
        <v>8359594.4099999992</v>
      </c>
      <c r="O16" s="88">
        <f t="shared" si="0"/>
        <v>690062150.38999987</v>
      </c>
      <c r="P16" s="88">
        <f>P188+P197+P199+P225+P238+P255+P264+P271++P274+P293+P297+P312+P316+P322+P329+P341+P353+P369+P377+P415+P420+P436+P410+P440+P451+P460+P463+P466+P470+P481+P486+P519+P19+P498</f>
        <v>0</v>
      </c>
      <c r="Q16" s="89" t="s">
        <v>40</v>
      </c>
      <c r="R16" s="89" t="s">
        <v>40</v>
      </c>
      <c r="S16" s="90" t="s">
        <v>40</v>
      </c>
    </row>
    <row r="17" spans="1:19">
      <c r="A17" s="296" t="s">
        <v>34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</row>
    <row r="18" spans="1:19" ht="18.75" customHeight="1">
      <c r="A18" s="91"/>
      <c r="B18" s="294" t="s">
        <v>126</v>
      </c>
      <c r="C18" s="294"/>
      <c r="D18" s="294"/>
      <c r="E18" s="294"/>
      <c r="F18" s="294"/>
      <c r="G18" s="294"/>
      <c r="H18" s="92">
        <f t="shared" ref="H18:O18" si="1">H19+H188+H197+H199+H225+H238+H255+H264+H271+H274+H293+H297+H312+H316+H322+H329+H341+H353+H369+H377+H410+H415+H420+H436+H440+H457+H451+H460+H463+H466+H470+H476+H481+H486+H498</f>
        <v>1092877.06</v>
      </c>
      <c r="I18" s="92">
        <f t="shared" si="1"/>
        <v>943622.7899999998</v>
      </c>
      <c r="J18" s="92">
        <f t="shared" si="1"/>
        <v>838443.65999999992</v>
      </c>
      <c r="K18" s="93">
        <f t="shared" si="1"/>
        <v>39225</v>
      </c>
      <c r="L18" s="88">
        <f t="shared" si="1"/>
        <v>690081371.15999997</v>
      </c>
      <c r="M18" s="88">
        <f t="shared" si="1"/>
        <v>0</v>
      </c>
      <c r="N18" s="88">
        <f t="shared" si="1"/>
        <v>6918368.4099999992</v>
      </c>
      <c r="O18" s="88">
        <f t="shared" si="1"/>
        <v>683163002.74999988</v>
      </c>
      <c r="P18" s="88">
        <f>P19+P188+P197+P199+P225+P238+P255+P264+P271+P274+P293+P297+P312+P316+P322+P329+P341+P353+P369+P377+P410+P415+P420+P436+P440+P457+P451+P460+P463+P466+P470+P481+P486+P498</f>
        <v>0</v>
      </c>
      <c r="Q18" s="94" t="s">
        <v>40</v>
      </c>
      <c r="R18" s="94" t="s">
        <v>40</v>
      </c>
      <c r="S18" s="94" t="s">
        <v>40</v>
      </c>
    </row>
    <row r="19" spans="1:19" s="1" customFormat="1" ht="31.5" customHeight="1">
      <c r="A19" s="91"/>
      <c r="B19" s="294" t="s">
        <v>605</v>
      </c>
      <c r="C19" s="294"/>
      <c r="D19" s="294"/>
      <c r="E19" s="294"/>
      <c r="F19" s="294"/>
      <c r="G19" s="294"/>
      <c r="H19" s="92">
        <f>SUM(H20:H187)</f>
        <v>505528.53</v>
      </c>
      <c r="I19" s="92">
        <f t="shared" ref="I19" si="2">SUM(I20:I187)</f>
        <v>453144.06000000011</v>
      </c>
      <c r="J19" s="92">
        <f>SUM(J20:J187)</f>
        <v>407287.85999999993</v>
      </c>
      <c r="K19" s="93">
        <f>SUM(K20:K187)</f>
        <v>18992</v>
      </c>
      <c r="L19" s="88">
        <v>336230870.63</v>
      </c>
      <c r="M19" s="88">
        <f t="shared" ref="M19:P19" si="3">SUM(M20:M187)</f>
        <v>0</v>
      </c>
      <c r="N19" s="88">
        <f t="shared" si="3"/>
        <v>0</v>
      </c>
      <c r="O19" s="88">
        <f>SUM(O20:O187)</f>
        <v>336230870.63</v>
      </c>
      <c r="P19" s="88">
        <f t="shared" si="3"/>
        <v>0</v>
      </c>
      <c r="Q19" s="94" t="s">
        <v>40</v>
      </c>
      <c r="R19" s="94" t="s">
        <v>40</v>
      </c>
      <c r="S19" s="94" t="s">
        <v>40</v>
      </c>
    </row>
    <row r="20" spans="1:19" s="3" customFormat="1" ht="15.75">
      <c r="A20" s="95">
        <v>1</v>
      </c>
      <c r="B20" s="96" t="s">
        <v>248</v>
      </c>
      <c r="C20" s="97">
        <v>1975</v>
      </c>
      <c r="D20" s="97"/>
      <c r="E20" s="98" t="s">
        <v>144</v>
      </c>
      <c r="F20" s="99">
        <v>5</v>
      </c>
      <c r="G20" s="99">
        <v>10</v>
      </c>
      <c r="H20" s="100">
        <v>7530</v>
      </c>
      <c r="I20" s="100">
        <v>6813.3</v>
      </c>
      <c r="J20" s="100">
        <v>6296.5</v>
      </c>
      <c r="K20" s="101">
        <v>312</v>
      </c>
      <c r="L20" s="88">
        <v>5982216</v>
      </c>
      <c r="M20" s="88">
        <v>0</v>
      </c>
      <c r="N20" s="88">
        <v>0</v>
      </c>
      <c r="O20" s="88">
        <f t="shared" ref="O20:O51" si="4">L20</f>
        <v>5982216</v>
      </c>
      <c r="P20" s="88">
        <v>0</v>
      </c>
      <c r="Q20" s="100">
        <f t="shared" ref="Q20:Q51" si="5">L20/I20</f>
        <v>878.02034256527668</v>
      </c>
      <c r="R20" s="102">
        <v>6774</v>
      </c>
      <c r="S20" s="103">
        <v>42735</v>
      </c>
    </row>
    <row r="21" spans="1:19" customFormat="1" ht="15.75">
      <c r="A21" s="95">
        <f>A20+1</f>
        <v>2</v>
      </c>
      <c r="B21" s="96" t="s">
        <v>249</v>
      </c>
      <c r="C21" s="97">
        <v>1978</v>
      </c>
      <c r="D21" s="97"/>
      <c r="E21" s="98" t="s">
        <v>144</v>
      </c>
      <c r="F21" s="99">
        <v>9</v>
      </c>
      <c r="G21" s="99">
        <v>5</v>
      </c>
      <c r="H21" s="100">
        <v>10953.9</v>
      </c>
      <c r="I21" s="100">
        <v>9753.6</v>
      </c>
      <c r="J21" s="100">
        <f>9753.6-636.2</f>
        <v>9117.4</v>
      </c>
      <c r="K21" s="101">
        <v>407</v>
      </c>
      <c r="L21" s="88">
        <v>9379653</v>
      </c>
      <c r="M21" s="88">
        <v>0</v>
      </c>
      <c r="N21" s="88">
        <v>0</v>
      </c>
      <c r="O21" s="88">
        <f t="shared" si="4"/>
        <v>9379653</v>
      </c>
      <c r="P21" s="88">
        <v>0</v>
      </c>
      <c r="Q21" s="100">
        <f t="shared" si="5"/>
        <v>961.66061761811022</v>
      </c>
      <c r="R21" s="102">
        <v>6774</v>
      </c>
      <c r="S21" s="103">
        <v>42735</v>
      </c>
    </row>
    <row r="22" spans="1:19" customFormat="1" ht="15.75">
      <c r="A22" s="95">
        <f t="shared" ref="A22:A85" si="6">A21+1</f>
        <v>3</v>
      </c>
      <c r="B22" s="104" t="s">
        <v>245</v>
      </c>
      <c r="C22" s="97">
        <v>1982</v>
      </c>
      <c r="D22" s="97"/>
      <c r="E22" s="98" t="s">
        <v>144</v>
      </c>
      <c r="F22" s="99">
        <v>9</v>
      </c>
      <c r="G22" s="99">
        <v>2</v>
      </c>
      <c r="H22" s="100">
        <v>9552.6</v>
      </c>
      <c r="I22" s="100">
        <f>7626.2+23.9</f>
        <v>7650.0999999999995</v>
      </c>
      <c r="J22" s="100">
        <f>7626.2-758.8</f>
        <v>6867.4</v>
      </c>
      <c r="K22" s="101">
        <v>564</v>
      </c>
      <c r="L22" s="88">
        <v>3763756</v>
      </c>
      <c r="M22" s="88">
        <v>0</v>
      </c>
      <c r="N22" s="88">
        <v>0</v>
      </c>
      <c r="O22" s="88">
        <f t="shared" si="4"/>
        <v>3763756</v>
      </c>
      <c r="P22" s="88">
        <v>0</v>
      </c>
      <c r="Q22" s="100">
        <f t="shared" si="5"/>
        <v>491.98781715271701</v>
      </c>
      <c r="R22" s="102">
        <v>6774</v>
      </c>
      <c r="S22" s="103">
        <v>42735</v>
      </c>
    </row>
    <row r="23" spans="1:19" customFormat="1" ht="15.75">
      <c r="A23" s="95">
        <f t="shared" si="6"/>
        <v>4</v>
      </c>
      <c r="B23" s="104" t="s">
        <v>270</v>
      </c>
      <c r="C23" s="97">
        <v>1982</v>
      </c>
      <c r="D23" s="97"/>
      <c r="E23" s="98" t="s">
        <v>144</v>
      </c>
      <c r="F23" s="99">
        <v>9</v>
      </c>
      <c r="G23" s="99">
        <v>1</v>
      </c>
      <c r="H23" s="100">
        <v>9925.2999999999993</v>
      </c>
      <c r="I23" s="100">
        <v>4011.8</v>
      </c>
      <c r="J23" s="100">
        <f>4011.8-138.4</f>
        <v>3873.4</v>
      </c>
      <c r="K23" s="101">
        <v>151</v>
      </c>
      <c r="L23" s="88">
        <v>1095812</v>
      </c>
      <c r="M23" s="88">
        <v>0</v>
      </c>
      <c r="N23" s="88">
        <v>0</v>
      </c>
      <c r="O23" s="88">
        <f t="shared" si="4"/>
        <v>1095812</v>
      </c>
      <c r="P23" s="88">
        <v>0</v>
      </c>
      <c r="Q23" s="100">
        <f t="shared" si="5"/>
        <v>273.14721571364475</v>
      </c>
      <c r="R23" s="102">
        <v>6774</v>
      </c>
      <c r="S23" s="103">
        <v>42735</v>
      </c>
    </row>
    <row r="24" spans="1:19" customFormat="1" ht="15.75">
      <c r="A24" s="95">
        <f t="shared" si="6"/>
        <v>5</v>
      </c>
      <c r="B24" s="104" t="s">
        <v>246</v>
      </c>
      <c r="C24" s="97">
        <v>1976</v>
      </c>
      <c r="D24" s="97"/>
      <c r="E24" s="98" t="s">
        <v>144</v>
      </c>
      <c r="F24" s="99">
        <v>9</v>
      </c>
      <c r="G24" s="99">
        <v>3</v>
      </c>
      <c r="H24" s="100">
        <v>5980</v>
      </c>
      <c r="I24" s="100">
        <v>5927.9</v>
      </c>
      <c r="J24" s="100">
        <f>5927.9-46.4</f>
        <v>5881.5</v>
      </c>
      <c r="K24" s="101">
        <v>272</v>
      </c>
      <c r="L24" s="88">
        <v>5619141</v>
      </c>
      <c r="M24" s="88">
        <v>0</v>
      </c>
      <c r="N24" s="88">
        <v>0</v>
      </c>
      <c r="O24" s="88">
        <f t="shared" si="4"/>
        <v>5619141</v>
      </c>
      <c r="P24" s="88">
        <v>0</v>
      </c>
      <c r="Q24" s="100">
        <f t="shared" si="5"/>
        <v>947.91426980887002</v>
      </c>
      <c r="R24" s="102">
        <v>6774</v>
      </c>
      <c r="S24" s="103">
        <v>42735</v>
      </c>
    </row>
    <row r="25" spans="1:19" customFormat="1" ht="15.75">
      <c r="A25" s="95">
        <f t="shared" si="6"/>
        <v>6</v>
      </c>
      <c r="B25" s="104" t="s">
        <v>244</v>
      </c>
      <c r="C25" s="95">
        <v>1982</v>
      </c>
      <c r="D25" s="97"/>
      <c r="E25" s="98" t="s">
        <v>144</v>
      </c>
      <c r="F25" s="97">
        <v>9</v>
      </c>
      <c r="G25" s="97">
        <v>2</v>
      </c>
      <c r="H25" s="89">
        <v>7008.7</v>
      </c>
      <c r="I25" s="89">
        <v>6649.2</v>
      </c>
      <c r="J25" s="89">
        <f>6591.2-655.1</f>
        <v>5936.0999999999995</v>
      </c>
      <c r="K25" s="87">
        <v>240</v>
      </c>
      <c r="L25" s="88">
        <v>3748388</v>
      </c>
      <c r="M25" s="88">
        <v>0</v>
      </c>
      <c r="N25" s="88">
        <v>0</v>
      </c>
      <c r="O25" s="88">
        <f t="shared" si="4"/>
        <v>3748388</v>
      </c>
      <c r="P25" s="88">
        <v>0</v>
      </c>
      <c r="Q25" s="100">
        <f t="shared" si="5"/>
        <v>563.73518618781213</v>
      </c>
      <c r="R25" s="102">
        <v>6774</v>
      </c>
      <c r="S25" s="103">
        <v>42735</v>
      </c>
    </row>
    <row r="26" spans="1:19" customFormat="1" ht="15.75">
      <c r="A26" s="95">
        <f t="shared" si="6"/>
        <v>7</v>
      </c>
      <c r="B26" s="96" t="s">
        <v>251</v>
      </c>
      <c r="C26" s="97">
        <v>1981</v>
      </c>
      <c r="D26" s="97"/>
      <c r="E26" s="98" t="s">
        <v>144</v>
      </c>
      <c r="F26" s="99">
        <v>9</v>
      </c>
      <c r="G26" s="99">
        <v>8</v>
      </c>
      <c r="H26" s="100">
        <v>17500.400000000001</v>
      </c>
      <c r="I26" s="100">
        <v>15698</v>
      </c>
      <c r="J26" s="100">
        <f>15698-588.6</f>
        <v>15109.4</v>
      </c>
      <c r="K26" s="101">
        <v>615</v>
      </c>
      <c r="L26" s="88">
        <v>15157748</v>
      </c>
      <c r="M26" s="88">
        <v>0</v>
      </c>
      <c r="N26" s="88">
        <v>0</v>
      </c>
      <c r="O26" s="88">
        <f t="shared" si="4"/>
        <v>15157748</v>
      </c>
      <c r="P26" s="88">
        <v>0</v>
      </c>
      <c r="Q26" s="100">
        <f t="shared" si="5"/>
        <v>965.58466046630144</v>
      </c>
      <c r="R26" s="102">
        <v>6774</v>
      </c>
      <c r="S26" s="103">
        <v>42735</v>
      </c>
    </row>
    <row r="27" spans="1:19" customFormat="1" ht="31.5">
      <c r="A27" s="95">
        <f t="shared" si="6"/>
        <v>8</v>
      </c>
      <c r="B27" s="96" t="s">
        <v>247</v>
      </c>
      <c r="C27" s="97">
        <v>1954</v>
      </c>
      <c r="D27" s="97"/>
      <c r="E27" s="98" t="s">
        <v>143</v>
      </c>
      <c r="F27" s="99">
        <v>2</v>
      </c>
      <c r="G27" s="99">
        <v>2</v>
      </c>
      <c r="H27" s="100">
        <f>392.2+45.5</f>
        <v>437.7</v>
      </c>
      <c r="I27" s="100">
        <v>392.2</v>
      </c>
      <c r="J27" s="100">
        <f>392.2-71.9</f>
        <v>320.29999999999995</v>
      </c>
      <c r="K27" s="101">
        <v>21</v>
      </c>
      <c r="L27" s="88">
        <v>1030213</v>
      </c>
      <c r="M27" s="88">
        <v>0</v>
      </c>
      <c r="N27" s="88">
        <v>0</v>
      </c>
      <c r="O27" s="88">
        <f t="shared" si="4"/>
        <v>1030213</v>
      </c>
      <c r="P27" s="88">
        <v>0</v>
      </c>
      <c r="Q27" s="100">
        <f t="shared" si="5"/>
        <v>2626.754207037226</v>
      </c>
      <c r="R27" s="102">
        <v>6774</v>
      </c>
      <c r="S27" s="103">
        <v>42735</v>
      </c>
    </row>
    <row r="28" spans="1:19" customFormat="1" ht="31.5">
      <c r="A28" s="95">
        <f t="shared" si="6"/>
        <v>9</v>
      </c>
      <c r="B28" s="104" t="s">
        <v>243</v>
      </c>
      <c r="C28" s="105">
        <v>1860</v>
      </c>
      <c r="D28" s="105"/>
      <c r="E28" s="98" t="s">
        <v>143</v>
      </c>
      <c r="F28" s="105">
        <v>3</v>
      </c>
      <c r="G28" s="105">
        <v>1</v>
      </c>
      <c r="H28" s="94">
        <v>632.1</v>
      </c>
      <c r="I28" s="94">
        <v>533.6</v>
      </c>
      <c r="J28" s="94">
        <v>533.6</v>
      </c>
      <c r="K28" s="106">
        <v>11</v>
      </c>
      <c r="L28" s="88">
        <v>530465</v>
      </c>
      <c r="M28" s="88">
        <v>0</v>
      </c>
      <c r="N28" s="88">
        <v>0</v>
      </c>
      <c r="O28" s="88">
        <f t="shared" si="4"/>
        <v>530465</v>
      </c>
      <c r="P28" s="88">
        <v>0</v>
      </c>
      <c r="Q28" s="100">
        <f t="shared" si="5"/>
        <v>994.12481259370315</v>
      </c>
      <c r="R28" s="102">
        <v>6774</v>
      </c>
      <c r="S28" s="103">
        <v>42735</v>
      </c>
    </row>
    <row r="29" spans="1:19" customFormat="1" ht="31.5">
      <c r="A29" s="95">
        <f t="shared" si="6"/>
        <v>10</v>
      </c>
      <c r="B29" s="104" t="s">
        <v>250</v>
      </c>
      <c r="C29" s="97">
        <v>1958</v>
      </c>
      <c r="D29" s="97"/>
      <c r="E29" s="98" t="s">
        <v>143</v>
      </c>
      <c r="F29" s="99">
        <v>2</v>
      </c>
      <c r="G29" s="99">
        <v>2</v>
      </c>
      <c r="H29" s="100">
        <v>928.4</v>
      </c>
      <c r="I29" s="100">
        <v>928.4</v>
      </c>
      <c r="J29" s="100">
        <v>854.4</v>
      </c>
      <c r="K29" s="101">
        <v>43</v>
      </c>
      <c r="L29" s="88">
        <v>1983854</v>
      </c>
      <c r="M29" s="88">
        <v>0</v>
      </c>
      <c r="N29" s="88">
        <v>0</v>
      </c>
      <c r="O29" s="88">
        <f t="shared" si="4"/>
        <v>1983854</v>
      </c>
      <c r="P29" s="88">
        <v>0</v>
      </c>
      <c r="Q29" s="100">
        <f t="shared" si="5"/>
        <v>2136.8526497199482</v>
      </c>
      <c r="R29" s="102">
        <v>6774</v>
      </c>
      <c r="S29" s="103">
        <v>42735</v>
      </c>
    </row>
    <row r="30" spans="1:19" customFormat="1" ht="31.5">
      <c r="A30" s="95">
        <f t="shared" si="6"/>
        <v>11</v>
      </c>
      <c r="B30" s="104" t="s">
        <v>366</v>
      </c>
      <c r="C30" s="97">
        <v>1961</v>
      </c>
      <c r="D30" s="97"/>
      <c r="E30" s="98" t="s">
        <v>143</v>
      </c>
      <c r="F30" s="99">
        <v>5</v>
      </c>
      <c r="G30" s="99">
        <v>2</v>
      </c>
      <c r="H30" s="100">
        <v>1746.1</v>
      </c>
      <c r="I30" s="100">
        <v>1602.1</v>
      </c>
      <c r="J30" s="100">
        <v>1309.8</v>
      </c>
      <c r="K30" s="101">
        <v>68</v>
      </c>
      <c r="L30" s="88">
        <v>1206304</v>
      </c>
      <c r="M30" s="88">
        <v>0</v>
      </c>
      <c r="N30" s="88">
        <v>0</v>
      </c>
      <c r="O30" s="88">
        <f t="shared" si="4"/>
        <v>1206304</v>
      </c>
      <c r="P30" s="88">
        <v>0</v>
      </c>
      <c r="Q30" s="100">
        <f t="shared" si="5"/>
        <v>752.95175082703952</v>
      </c>
      <c r="R30" s="102">
        <v>6774</v>
      </c>
      <c r="S30" s="103">
        <v>42735</v>
      </c>
    </row>
    <row r="31" spans="1:19" customFormat="1" ht="31.5">
      <c r="A31" s="95">
        <f t="shared" si="6"/>
        <v>12</v>
      </c>
      <c r="B31" s="96" t="s">
        <v>488</v>
      </c>
      <c r="C31" s="97">
        <v>1961</v>
      </c>
      <c r="D31" s="107"/>
      <c r="E31" s="98" t="s">
        <v>143</v>
      </c>
      <c r="F31" s="99">
        <v>5</v>
      </c>
      <c r="G31" s="99">
        <v>3</v>
      </c>
      <c r="H31" s="100">
        <f>2775.7+220.5</f>
        <v>2996.2</v>
      </c>
      <c r="I31" s="100">
        <f>2510.6+262.4</f>
        <v>2773</v>
      </c>
      <c r="J31" s="100">
        <f>2510.6-63.1</f>
        <v>2447.5</v>
      </c>
      <c r="K31" s="101">
        <v>81</v>
      </c>
      <c r="L31" s="88">
        <v>402530.2</v>
      </c>
      <c r="M31" s="88">
        <v>0</v>
      </c>
      <c r="N31" s="88">
        <v>0</v>
      </c>
      <c r="O31" s="88">
        <f t="shared" si="4"/>
        <v>402530.2</v>
      </c>
      <c r="P31" s="88">
        <v>0</v>
      </c>
      <c r="Q31" s="100">
        <f t="shared" si="5"/>
        <v>145.16054814280562</v>
      </c>
      <c r="R31" s="102">
        <v>6774</v>
      </c>
      <c r="S31" s="103">
        <v>42735</v>
      </c>
    </row>
    <row r="32" spans="1:19" customFormat="1" ht="31.5">
      <c r="A32" s="95">
        <f t="shared" si="6"/>
        <v>13</v>
      </c>
      <c r="B32" s="96" t="s">
        <v>365</v>
      </c>
      <c r="C32" s="105">
        <v>1967</v>
      </c>
      <c r="D32" s="105"/>
      <c r="E32" s="98" t="s">
        <v>143</v>
      </c>
      <c r="F32" s="105">
        <v>5</v>
      </c>
      <c r="G32" s="105">
        <v>8</v>
      </c>
      <c r="H32" s="100">
        <v>6072.6</v>
      </c>
      <c r="I32" s="100">
        <v>5724.5</v>
      </c>
      <c r="J32" s="100">
        <f>5724.5-453.1</f>
        <v>5271.4</v>
      </c>
      <c r="K32" s="101">
        <v>119</v>
      </c>
      <c r="L32" s="88">
        <v>2861497</v>
      </c>
      <c r="M32" s="88">
        <v>0</v>
      </c>
      <c r="N32" s="88">
        <v>0</v>
      </c>
      <c r="O32" s="88">
        <f t="shared" si="4"/>
        <v>2861497</v>
      </c>
      <c r="P32" s="88">
        <v>0</v>
      </c>
      <c r="Q32" s="100">
        <f t="shared" si="5"/>
        <v>499.86846012752204</v>
      </c>
      <c r="R32" s="102">
        <v>6774</v>
      </c>
      <c r="S32" s="103">
        <v>42735</v>
      </c>
    </row>
    <row r="33" spans="1:19" customFormat="1" ht="15.75">
      <c r="A33" s="95">
        <f t="shared" si="6"/>
        <v>14</v>
      </c>
      <c r="B33" s="104" t="s">
        <v>258</v>
      </c>
      <c r="C33" s="97">
        <v>1974</v>
      </c>
      <c r="D33" s="97"/>
      <c r="E33" s="98" t="s">
        <v>144</v>
      </c>
      <c r="F33" s="99">
        <v>5</v>
      </c>
      <c r="G33" s="99">
        <v>4</v>
      </c>
      <c r="H33" s="100">
        <v>2740</v>
      </c>
      <c r="I33" s="100">
        <v>2707.8</v>
      </c>
      <c r="J33" s="100">
        <f>2707.8-277.6</f>
        <v>2430.2000000000003</v>
      </c>
      <c r="K33" s="101">
        <v>170</v>
      </c>
      <c r="L33" s="88">
        <v>1535065.47</v>
      </c>
      <c r="M33" s="88">
        <v>0</v>
      </c>
      <c r="N33" s="88">
        <v>0</v>
      </c>
      <c r="O33" s="88">
        <f t="shared" si="4"/>
        <v>1535065.47</v>
      </c>
      <c r="P33" s="88">
        <v>0</v>
      </c>
      <c r="Q33" s="100">
        <f t="shared" si="5"/>
        <v>566.90504099268776</v>
      </c>
      <c r="R33" s="102">
        <v>6774</v>
      </c>
      <c r="S33" s="103">
        <v>42735</v>
      </c>
    </row>
    <row r="34" spans="1:19" customFormat="1" ht="15.75">
      <c r="A34" s="95">
        <f t="shared" si="6"/>
        <v>15</v>
      </c>
      <c r="B34" s="104" t="s">
        <v>254</v>
      </c>
      <c r="C34" s="105">
        <v>1966</v>
      </c>
      <c r="D34" s="105"/>
      <c r="E34" s="98" t="s">
        <v>144</v>
      </c>
      <c r="F34" s="105">
        <v>5</v>
      </c>
      <c r="G34" s="105">
        <v>4</v>
      </c>
      <c r="H34" s="100">
        <v>3749.3</v>
      </c>
      <c r="I34" s="100">
        <v>3475</v>
      </c>
      <c r="J34" s="100">
        <f>3475-144.5</f>
        <v>3330.5</v>
      </c>
      <c r="K34" s="101">
        <v>171</v>
      </c>
      <c r="L34" s="88">
        <v>930534</v>
      </c>
      <c r="M34" s="88">
        <v>0</v>
      </c>
      <c r="N34" s="88">
        <v>0</v>
      </c>
      <c r="O34" s="88">
        <f t="shared" si="4"/>
        <v>930534</v>
      </c>
      <c r="P34" s="88">
        <v>0</v>
      </c>
      <c r="Q34" s="100">
        <f t="shared" si="5"/>
        <v>267.77956834532375</v>
      </c>
      <c r="R34" s="102">
        <v>6774</v>
      </c>
      <c r="S34" s="103">
        <v>42735</v>
      </c>
    </row>
    <row r="35" spans="1:19" customFormat="1" ht="15.75">
      <c r="A35" s="95">
        <f t="shared" si="6"/>
        <v>16</v>
      </c>
      <c r="B35" s="104" t="s">
        <v>252</v>
      </c>
      <c r="C35" s="105">
        <v>1970</v>
      </c>
      <c r="D35" s="105"/>
      <c r="E35" s="98" t="s">
        <v>144</v>
      </c>
      <c r="F35" s="105">
        <v>5</v>
      </c>
      <c r="G35" s="105">
        <v>4</v>
      </c>
      <c r="H35" s="100">
        <v>3016.1</v>
      </c>
      <c r="I35" s="100">
        <v>2705.5</v>
      </c>
      <c r="J35" s="100">
        <f>2705.5-105.3</f>
        <v>2600.1999999999998</v>
      </c>
      <c r="K35" s="101">
        <v>124</v>
      </c>
      <c r="L35" s="88">
        <v>662518</v>
      </c>
      <c r="M35" s="88">
        <v>0</v>
      </c>
      <c r="N35" s="88">
        <v>0</v>
      </c>
      <c r="O35" s="88">
        <f t="shared" si="4"/>
        <v>662518</v>
      </c>
      <c r="P35" s="88">
        <v>0</v>
      </c>
      <c r="Q35" s="100">
        <f t="shared" si="5"/>
        <v>244.87821105156164</v>
      </c>
      <c r="R35" s="102">
        <v>6774</v>
      </c>
      <c r="S35" s="103">
        <v>42735</v>
      </c>
    </row>
    <row r="36" spans="1:19" customFormat="1" ht="31.5">
      <c r="A36" s="95">
        <f t="shared" si="6"/>
        <v>17</v>
      </c>
      <c r="B36" s="104" t="s">
        <v>257</v>
      </c>
      <c r="C36" s="97">
        <v>1979</v>
      </c>
      <c r="D36" s="97"/>
      <c r="E36" s="98" t="s">
        <v>143</v>
      </c>
      <c r="F36" s="99">
        <v>5</v>
      </c>
      <c r="G36" s="99">
        <v>4</v>
      </c>
      <c r="H36" s="100">
        <v>3127.1</v>
      </c>
      <c r="I36" s="100">
        <v>2757</v>
      </c>
      <c r="J36" s="100">
        <v>2648</v>
      </c>
      <c r="K36" s="101">
        <v>125</v>
      </c>
      <c r="L36" s="88">
        <v>2346663</v>
      </c>
      <c r="M36" s="88">
        <v>0</v>
      </c>
      <c r="N36" s="88">
        <v>0</v>
      </c>
      <c r="O36" s="88">
        <f t="shared" si="4"/>
        <v>2346663</v>
      </c>
      <c r="P36" s="88">
        <v>0</v>
      </c>
      <c r="Q36" s="100">
        <f t="shared" si="5"/>
        <v>851.16539717083788</v>
      </c>
      <c r="R36" s="102">
        <v>6774</v>
      </c>
      <c r="S36" s="103">
        <v>42735</v>
      </c>
    </row>
    <row r="37" spans="1:19" customFormat="1" ht="15.75">
      <c r="A37" s="95">
        <f t="shared" si="6"/>
        <v>18</v>
      </c>
      <c r="B37" s="104" t="s">
        <v>255</v>
      </c>
      <c r="C37" s="105">
        <v>1972</v>
      </c>
      <c r="D37" s="105"/>
      <c r="E37" s="98" t="s">
        <v>144</v>
      </c>
      <c r="F37" s="105">
        <v>5</v>
      </c>
      <c r="G37" s="105">
        <v>4</v>
      </c>
      <c r="H37" s="100">
        <v>2953.6</v>
      </c>
      <c r="I37" s="100">
        <v>2680.8</v>
      </c>
      <c r="J37" s="100">
        <v>2321.5</v>
      </c>
      <c r="K37" s="101">
        <v>141</v>
      </c>
      <c r="L37" s="88">
        <v>727019</v>
      </c>
      <c r="M37" s="88">
        <v>0</v>
      </c>
      <c r="N37" s="88">
        <v>0</v>
      </c>
      <c r="O37" s="88">
        <f t="shared" si="4"/>
        <v>727019</v>
      </c>
      <c r="P37" s="88">
        <v>0</v>
      </c>
      <c r="Q37" s="100">
        <f t="shared" si="5"/>
        <v>271.19479259922412</v>
      </c>
      <c r="R37" s="102">
        <v>6774</v>
      </c>
      <c r="S37" s="103">
        <v>42735</v>
      </c>
    </row>
    <row r="38" spans="1:19" customFormat="1" ht="31.5">
      <c r="A38" s="95">
        <f t="shared" si="6"/>
        <v>19</v>
      </c>
      <c r="B38" s="104" t="s">
        <v>253</v>
      </c>
      <c r="C38" s="105">
        <v>1963</v>
      </c>
      <c r="D38" s="105"/>
      <c r="E38" s="98" t="s">
        <v>143</v>
      </c>
      <c r="F38" s="105">
        <v>4</v>
      </c>
      <c r="G38" s="105">
        <v>3</v>
      </c>
      <c r="H38" s="100">
        <v>2075.4</v>
      </c>
      <c r="I38" s="94">
        <v>1972.8</v>
      </c>
      <c r="J38" s="94">
        <v>1847.1</v>
      </c>
      <c r="K38" s="106">
        <v>105</v>
      </c>
      <c r="L38" s="88">
        <v>538121</v>
      </c>
      <c r="M38" s="88">
        <v>0</v>
      </c>
      <c r="N38" s="88">
        <v>0</v>
      </c>
      <c r="O38" s="88">
        <f t="shared" si="4"/>
        <v>538121</v>
      </c>
      <c r="P38" s="88">
        <v>0</v>
      </c>
      <c r="Q38" s="100">
        <f t="shared" si="5"/>
        <v>272.77017437145173</v>
      </c>
      <c r="R38" s="102">
        <v>6774</v>
      </c>
      <c r="S38" s="103">
        <v>42735</v>
      </c>
    </row>
    <row r="39" spans="1:19" customFormat="1" ht="31.5">
      <c r="A39" s="95">
        <f t="shared" si="6"/>
        <v>20</v>
      </c>
      <c r="B39" s="104" t="s">
        <v>256</v>
      </c>
      <c r="C39" s="105">
        <v>1963</v>
      </c>
      <c r="D39" s="105"/>
      <c r="E39" s="98" t="s">
        <v>143</v>
      </c>
      <c r="F39" s="105">
        <v>4</v>
      </c>
      <c r="G39" s="105">
        <v>3</v>
      </c>
      <c r="H39" s="100">
        <v>2252.8000000000002</v>
      </c>
      <c r="I39" s="94">
        <v>2010</v>
      </c>
      <c r="J39" s="94">
        <f>2010-43.3</f>
        <v>1966.7</v>
      </c>
      <c r="K39" s="106">
        <v>60</v>
      </c>
      <c r="L39" s="88">
        <v>1756852</v>
      </c>
      <c r="M39" s="88">
        <v>0</v>
      </c>
      <c r="N39" s="88">
        <v>0</v>
      </c>
      <c r="O39" s="88">
        <f t="shared" si="4"/>
        <v>1756852</v>
      </c>
      <c r="P39" s="88">
        <v>0</v>
      </c>
      <c r="Q39" s="100">
        <f t="shared" si="5"/>
        <v>874.05572139303479</v>
      </c>
      <c r="R39" s="102">
        <v>6774</v>
      </c>
      <c r="S39" s="103">
        <v>42735</v>
      </c>
    </row>
    <row r="40" spans="1:19" customFormat="1" ht="15.75">
      <c r="A40" s="95">
        <f t="shared" si="6"/>
        <v>21</v>
      </c>
      <c r="B40" s="104" t="s">
        <v>240</v>
      </c>
      <c r="C40" s="97">
        <v>1974</v>
      </c>
      <c r="D40" s="97"/>
      <c r="E40" s="98" t="s">
        <v>144</v>
      </c>
      <c r="F40" s="99">
        <v>5</v>
      </c>
      <c r="G40" s="99">
        <v>4</v>
      </c>
      <c r="H40" s="100">
        <v>3091.3</v>
      </c>
      <c r="I40" s="100">
        <v>3029.3</v>
      </c>
      <c r="J40" s="100">
        <f>I40-302.8</f>
        <v>2726.5</v>
      </c>
      <c r="K40" s="101">
        <v>111</v>
      </c>
      <c r="L40" s="88">
        <v>676398.28</v>
      </c>
      <c r="M40" s="88">
        <v>0</v>
      </c>
      <c r="N40" s="88">
        <v>0</v>
      </c>
      <c r="O40" s="88">
        <f t="shared" si="4"/>
        <v>676398.28</v>
      </c>
      <c r="P40" s="88">
        <v>0</v>
      </c>
      <c r="Q40" s="100">
        <f t="shared" si="5"/>
        <v>223.28533984748952</v>
      </c>
      <c r="R40" s="102">
        <v>6774</v>
      </c>
      <c r="S40" s="103">
        <v>42735</v>
      </c>
    </row>
    <row r="41" spans="1:19" customFormat="1" ht="31.5">
      <c r="A41" s="95">
        <f t="shared" si="6"/>
        <v>22</v>
      </c>
      <c r="B41" s="96" t="s">
        <v>237</v>
      </c>
      <c r="C41" s="97">
        <v>1951</v>
      </c>
      <c r="D41" s="97"/>
      <c r="E41" s="98" t="s">
        <v>143</v>
      </c>
      <c r="F41" s="99">
        <v>2</v>
      </c>
      <c r="G41" s="99">
        <v>1</v>
      </c>
      <c r="H41" s="100">
        <v>451</v>
      </c>
      <c r="I41" s="100">
        <v>403.5</v>
      </c>
      <c r="J41" s="100">
        <f>403.5-97.8</f>
        <v>305.7</v>
      </c>
      <c r="K41" s="101">
        <v>24</v>
      </c>
      <c r="L41" s="88">
        <v>766539</v>
      </c>
      <c r="M41" s="88">
        <v>0</v>
      </c>
      <c r="N41" s="88">
        <v>0</v>
      </c>
      <c r="O41" s="88">
        <f t="shared" si="4"/>
        <v>766539</v>
      </c>
      <c r="P41" s="88">
        <v>0</v>
      </c>
      <c r="Q41" s="100">
        <f t="shared" si="5"/>
        <v>1899.724907063197</v>
      </c>
      <c r="R41" s="102">
        <v>6774</v>
      </c>
      <c r="S41" s="103">
        <v>42735</v>
      </c>
    </row>
    <row r="42" spans="1:19" customFormat="1" ht="31.5">
      <c r="A42" s="95">
        <f t="shared" si="6"/>
        <v>23</v>
      </c>
      <c r="B42" s="104" t="s">
        <v>236</v>
      </c>
      <c r="C42" s="105">
        <v>1983</v>
      </c>
      <c r="D42" s="105"/>
      <c r="E42" s="98" t="s">
        <v>143</v>
      </c>
      <c r="F42" s="105">
        <v>9</v>
      </c>
      <c r="G42" s="105">
        <v>2</v>
      </c>
      <c r="H42" s="100">
        <v>4533.8999999999996</v>
      </c>
      <c r="I42" s="94">
        <v>3972.7</v>
      </c>
      <c r="J42" s="94">
        <v>3972.7</v>
      </c>
      <c r="K42" s="106">
        <v>142</v>
      </c>
      <c r="L42" s="88">
        <v>1186114</v>
      </c>
      <c r="M42" s="88">
        <v>0</v>
      </c>
      <c r="N42" s="88">
        <v>0</v>
      </c>
      <c r="O42" s="88">
        <f t="shared" si="4"/>
        <v>1186114</v>
      </c>
      <c r="P42" s="88">
        <v>0</v>
      </c>
      <c r="Q42" s="100">
        <f t="shared" si="5"/>
        <v>298.56621441337126</v>
      </c>
      <c r="R42" s="102">
        <v>6774</v>
      </c>
      <c r="S42" s="103">
        <v>42735</v>
      </c>
    </row>
    <row r="43" spans="1:19" customFormat="1" ht="31.5">
      <c r="A43" s="95">
        <f t="shared" si="6"/>
        <v>24</v>
      </c>
      <c r="B43" s="96" t="s">
        <v>235</v>
      </c>
      <c r="C43" s="105">
        <v>1958</v>
      </c>
      <c r="D43" s="105"/>
      <c r="E43" s="98" t="s">
        <v>143</v>
      </c>
      <c r="F43" s="105">
        <v>3</v>
      </c>
      <c r="G43" s="105">
        <v>2</v>
      </c>
      <c r="H43" s="100">
        <f>1009.6+58.6</f>
        <v>1068.2</v>
      </c>
      <c r="I43" s="94">
        <v>1009.6</v>
      </c>
      <c r="J43" s="94">
        <f>I43-70</f>
        <v>939.6</v>
      </c>
      <c r="K43" s="106">
        <v>35</v>
      </c>
      <c r="L43" s="88">
        <v>178272.59</v>
      </c>
      <c r="M43" s="88">
        <v>0</v>
      </c>
      <c r="N43" s="88">
        <v>0</v>
      </c>
      <c r="O43" s="88">
        <f t="shared" si="4"/>
        <v>178272.59</v>
      </c>
      <c r="P43" s="88">
        <v>0</v>
      </c>
      <c r="Q43" s="100">
        <f t="shared" si="5"/>
        <v>176.57744651347068</v>
      </c>
      <c r="R43" s="102">
        <v>6774</v>
      </c>
      <c r="S43" s="103">
        <v>42735</v>
      </c>
    </row>
    <row r="44" spans="1:19" customFormat="1" ht="31.5">
      <c r="A44" s="95">
        <f t="shared" si="6"/>
        <v>25</v>
      </c>
      <c r="B44" s="104" t="s">
        <v>239</v>
      </c>
      <c r="C44" s="97">
        <v>1963</v>
      </c>
      <c r="D44" s="97"/>
      <c r="E44" s="98" t="s">
        <v>143</v>
      </c>
      <c r="F44" s="99">
        <v>4</v>
      </c>
      <c r="G44" s="99">
        <v>2</v>
      </c>
      <c r="H44" s="100">
        <v>1383</v>
      </c>
      <c r="I44" s="100">
        <v>1283.5</v>
      </c>
      <c r="J44" s="100">
        <f>I44-86.9</f>
        <v>1196.5999999999999</v>
      </c>
      <c r="K44" s="101">
        <v>78</v>
      </c>
      <c r="L44" s="88">
        <v>1087116</v>
      </c>
      <c r="M44" s="88">
        <v>0</v>
      </c>
      <c r="N44" s="88">
        <v>0</v>
      </c>
      <c r="O44" s="88">
        <f t="shared" si="4"/>
        <v>1087116</v>
      </c>
      <c r="P44" s="88">
        <v>0</v>
      </c>
      <c r="Q44" s="100">
        <f t="shared" si="5"/>
        <v>846.99337748344374</v>
      </c>
      <c r="R44" s="102">
        <v>6774</v>
      </c>
      <c r="S44" s="103">
        <v>42735</v>
      </c>
    </row>
    <row r="45" spans="1:19" customFormat="1" ht="31.5">
      <c r="A45" s="95">
        <f t="shared" si="6"/>
        <v>26</v>
      </c>
      <c r="B45" s="104" t="s">
        <v>275</v>
      </c>
      <c r="C45" s="97">
        <v>1984</v>
      </c>
      <c r="D45" s="97"/>
      <c r="E45" s="98" t="s">
        <v>143</v>
      </c>
      <c r="F45" s="99">
        <v>9</v>
      </c>
      <c r="G45" s="99">
        <v>2</v>
      </c>
      <c r="H45" s="100">
        <v>4752.3</v>
      </c>
      <c r="I45" s="100">
        <v>3952</v>
      </c>
      <c r="J45" s="100">
        <f>3691.8-225.7</f>
        <v>3466.1000000000004</v>
      </c>
      <c r="K45" s="101">
        <v>175</v>
      </c>
      <c r="L45" s="88">
        <v>1411363</v>
      </c>
      <c r="M45" s="88">
        <v>0</v>
      </c>
      <c r="N45" s="88">
        <v>0</v>
      </c>
      <c r="O45" s="88">
        <f t="shared" si="4"/>
        <v>1411363</v>
      </c>
      <c r="P45" s="88">
        <v>0</v>
      </c>
      <c r="Q45" s="100">
        <f t="shared" si="5"/>
        <v>357.12626518218622</v>
      </c>
      <c r="R45" s="102">
        <v>6774</v>
      </c>
      <c r="S45" s="103">
        <v>42735</v>
      </c>
    </row>
    <row r="46" spans="1:19" customFormat="1" ht="31.5">
      <c r="A46" s="95">
        <f t="shared" si="6"/>
        <v>27</v>
      </c>
      <c r="B46" s="104" t="s">
        <v>238</v>
      </c>
      <c r="C46" s="97">
        <v>1964</v>
      </c>
      <c r="D46" s="97"/>
      <c r="E46" s="98" t="s">
        <v>143</v>
      </c>
      <c r="F46" s="99">
        <v>4</v>
      </c>
      <c r="G46" s="99">
        <v>2</v>
      </c>
      <c r="H46" s="100">
        <v>1300.5999999999999</v>
      </c>
      <c r="I46" s="100">
        <v>1269.3</v>
      </c>
      <c r="J46" s="100">
        <f>1269.3-42</f>
        <v>1227.3</v>
      </c>
      <c r="K46" s="101">
        <v>30</v>
      </c>
      <c r="L46" s="88">
        <v>1136666</v>
      </c>
      <c r="M46" s="88">
        <v>0</v>
      </c>
      <c r="N46" s="88">
        <v>0</v>
      </c>
      <c r="O46" s="88">
        <f t="shared" si="4"/>
        <v>1136666</v>
      </c>
      <c r="P46" s="88">
        <v>0</v>
      </c>
      <c r="Q46" s="100">
        <f t="shared" si="5"/>
        <v>895.50618451114792</v>
      </c>
      <c r="R46" s="102">
        <v>6774</v>
      </c>
      <c r="S46" s="103">
        <v>42735</v>
      </c>
    </row>
    <row r="47" spans="1:19" customFormat="1" ht="31.5">
      <c r="A47" s="95">
        <f t="shared" si="6"/>
        <v>28</v>
      </c>
      <c r="B47" s="104" t="s">
        <v>347</v>
      </c>
      <c r="C47" s="105">
        <v>1959</v>
      </c>
      <c r="D47" s="105"/>
      <c r="E47" s="98" t="s">
        <v>143</v>
      </c>
      <c r="F47" s="105">
        <v>4</v>
      </c>
      <c r="G47" s="105">
        <v>6</v>
      </c>
      <c r="H47" s="100">
        <v>4138.3</v>
      </c>
      <c r="I47" s="94">
        <v>3789.6</v>
      </c>
      <c r="J47" s="94">
        <f>3629.6-14.3</f>
        <v>3615.2999999999997</v>
      </c>
      <c r="K47" s="106">
        <v>183</v>
      </c>
      <c r="L47" s="88">
        <v>1385674</v>
      </c>
      <c r="M47" s="88">
        <v>0</v>
      </c>
      <c r="N47" s="88">
        <v>0</v>
      </c>
      <c r="O47" s="88">
        <f t="shared" si="4"/>
        <v>1385674</v>
      </c>
      <c r="P47" s="88">
        <v>0</v>
      </c>
      <c r="Q47" s="100">
        <f t="shared" si="5"/>
        <v>365.65178382942793</v>
      </c>
      <c r="R47" s="102">
        <v>6774</v>
      </c>
      <c r="S47" s="103">
        <v>42735</v>
      </c>
    </row>
    <row r="48" spans="1:19" customFormat="1" ht="31.5">
      <c r="A48" s="95">
        <f t="shared" si="6"/>
        <v>29</v>
      </c>
      <c r="B48" s="104" t="s">
        <v>348</v>
      </c>
      <c r="C48" s="105">
        <v>1937</v>
      </c>
      <c r="D48" s="105"/>
      <c r="E48" s="98" t="s">
        <v>143</v>
      </c>
      <c r="F48" s="105">
        <v>4</v>
      </c>
      <c r="G48" s="105">
        <v>9</v>
      </c>
      <c r="H48" s="100">
        <v>6091.4</v>
      </c>
      <c r="I48" s="94">
        <v>5348.4</v>
      </c>
      <c r="J48" s="94">
        <f>3926.4-62.1</f>
        <v>3864.3</v>
      </c>
      <c r="K48" s="106">
        <v>114</v>
      </c>
      <c r="L48" s="88">
        <v>4619990</v>
      </c>
      <c r="M48" s="88">
        <v>0</v>
      </c>
      <c r="N48" s="88">
        <v>0</v>
      </c>
      <c r="O48" s="88">
        <f t="shared" si="4"/>
        <v>4619990</v>
      </c>
      <c r="P48" s="88">
        <v>0</v>
      </c>
      <c r="Q48" s="100">
        <f t="shared" si="5"/>
        <v>863.80786777353978</v>
      </c>
      <c r="R48" s="102">
        <v>6774</v>
      </c>
      <c r="S48" s="103">
        <v>42735</v>
      </c>
    </row>
    <row r="49" spans="1:19" customFormat="1" ht="31.5">
      <c r="A49" s="95">
        <f t="shared" si="6"/>
        <v>30</v>
      </c>
      <c r="B49" s="104" t="s">
        <v>351</v>
      </c>
      <c r="C49" s="105">
        <v>1960</v>
      </c>
      <c r="D49" s="105"/>
      <c r="E49" s="98" t="s">
        <v>143</v>
      </c>
      <c r="F49" s="105">
        <v>4</v>
      </c>
      <c r="G49" s="105">
        <v>3</v>
      </c>
      <c r="H49" s="100">
        <v>2150.6999999999998</v>
      </c>
      <c r="I49" s="94">
        <v>2010.5</v>
      </c>
      <c r="J49" s="94">
        <f>1971.6</f>
        <v>1971.6</v>
      </c>
      <c r="K49" s="106">
        <v>78</v>
      </c>
      <c r="L49" s="88">
        <v>1865304</v>
      </c>
      <c r="M49" s="88">
        <v>0</v>
      </c>
      <c r="N49" s="88">
        <v>0</v>
      </c>
      <c r="O49" s="88">
        <f t="shared" si="4"/>
        <v>1865304</v>
      </c>
      <c r="P49" s="88">
        <v>0</v>
      </c>
      <c r="Q49" s="100">
        <f t="shared" si="5"/>
        <v>927.7811489679184</v>
      </c>
      <c r="R49" s="102">
        <v>6774</v>
      </c>
      <c r="S49" s="103">
        <v>42735</v>
      </c>
    </row>
    <row r="50" spans="1:19" customFormat="1" ht="31.5">
      <c r="A50" s="95">
        <f t="shared" si="6"/>
        <v>31</v>
      </c>
      <c r="B50" s="104" t="s">
        <v>359</v>
      </c>
      <c r="C50" s="97">
        <v>1961</v>
      </c>
      <c r="D50" s="97"/>
      <c r="E50" s="98" t="s">
        <v>143</v>
      </c>
      <c r="F50" s="99">
        <v>5</v>
      </c>
      <c r="G50" s="99">
        <v>4</v>
      </c>
      <c r="H50" s="100">
        <v>3760.3</v>
      </c>
      <c r="I50" s="100">
        <v>3400.51</v>
      </c>
      <c r="J50" s="100">
        <f>2497.9-100.3</f>
        <v>2397.6</v>
      </c>
      <c r="K50" s="101">
        <v>105</v>
      </c>
      <c r="L50" s="88">
        <v>1870910</v>
      </c>
      <c r="M50" s="88">
        <v>0</v>
      </c>
      <c r="N50" s="88">
        <v>0</v>
      </c>
      <c r="O50" s="88">
        <f t="shared" si="4"/>
        <v>1870910</v>
      </c>
      <c r="P50" s="88">
        <v>0</v>
      </c>
      <c r="Q50" s="100">
        <f t="shared" si="5"/>
        <v>550.18511929092983</v>
      </c>
      <c r="R50" s="102">
        <v>6774</v>
      </c>
      <c r="S50" s="103">
        <v>42735</v>
      </c>
    </row>
    <row r="51" spans="1:19" customFormat="1" ht="31.5">
      <c r="A51" s="95">
        <f t="shared" si="6"/>
        <v>32</v>
      </c>
      <c r="B51" s="104" t="s">
        <v>360</v>
      </c>
      <c r="C51" s="97">
        <v>1960</v>
      </c>
      <c r="D51" s="97"/>
      <c r="E51" s="98" t="s">
        <v>143</v>
      </c>
      <c r="F51" s="99">
        <v>5</v>
      </c>
      <c r="G51" s="99">
        <v>4</v>
      </c>
      <c r="H51" s="100">
        <v>2830.1</v>
      </c>
      <c r="I51" s="100">
        <v>2725.21</v>
      </c>
      <c r="J51" s="100">
        <f>2222.21-231.9</f>
        <v>1990.31</v>
      </c>
      <c r="K51" s="101">
        <v>137</v>
      </c>
      <c r="L51" s="88">
        <v>1533757</v>
      </c>
      <c r="M51" s="88">
        <v>0</v>
      </c>
      <c r="N51" s="88">
        <v>0</v>
      </c>
      <c r="O51" s="88">
        <f t="shared" si="4"/>
        <v>1533757</v>
      </c>
      <c r="P51" s="88">
        <v>0</v>
      </c>
      <c r="Q51" s="100">
        <f t="shared" si="5"/>
        <v>562.8032335122798</v>
      </c>
      <c r="R51" s="102">
        <v>6774</v>
      </c>
      <c r="S51" s="103">
        <v>42735</v>
      </c>
    </row>
    <row r="52" spans="1:19" customFormat="1" ht="31.5">
      <c r="A52" s="95">
        <f t="shared" si="6"/>
        <v>33</v>
      </c>
      <c r="B52" s="104" t="s">
        <v>349</v>
      </c>
      <c r="C52" s="105">
        <v>1960</v>
      </c>
      <c r="D52" s="105"/>
      <c r="E52" s="98" t="s">
        <v>143</v>
      </c>
      <c r="F52" s="105">
        <v>5</v>
      </c>
      <c r="G52" s="105">
        <v>4</v>
      </c>
      <c r="H52" s="100">
        <v>3809</v>
      </c>
      <c r="I52" s="94">
        <v>3495.51</v>
      </c>
      <c r="J52" s="94">
        <f>2735.51</f>
        <v>2735.51</v>
      </c>
      <c r="K52" s="106">
        <v>93</v>
      </c>
      <c r="L52" s="88">
        <v>939858</v>
      </c>
      <c r="M52" s="88">
        <v>0</v>
      </c>
      <c r="N52" s="88">
        <v>0</v>
      </c>
      <c r="O52" s="88">
        <f t="shared" ref="O52:O83" si="7">L52</f>
        <v>939858</v>
      </c>
      <c r="P52" s="88">
        <v>0</v>
      </c>
      <c r="Q52" s="100">
        <f t="shared" ref="Q52:Q83" si="8">L52/I52</f>
        <v>268.87578636593798</v>
      </c>
      <c r="R52" s="102">
        <v>6774</v>
      </c>
      <c r="S52" s="103">
        <v>42735</v>
      </c>
    </row>
    <row r="53" spans="1:19" customFormat="1" ht="15.75">
      <c r="A53" s="95">
        <f t="shared" si="6"/>
        <v>34</v>
      </c>
      <c r="B53" s="96" t="s">
        <v>355</v>
      </c>
      <c r="C53" s="97">
        <v>1973</v>
      </c>
      <c r="D53" s="97"/>
      <c r="E53" s="98" t="s">
        <v>144</v>
      </c>
      <c r="F53" s="99">
        <v>5</v>
      </c>
      <c r="G53" s="99">
        <v>6</v>
      </c>
      <c r="H53" s="100">
        <v>4937.6000000000004</v>
      </c>
      <c r="I53" s="100">
        <v>4490.2</v>
      </c>
      <c r="J53" s="100">
        <f>4490.2-798.74</f>
        <v>3691.46</v>
      </c>
      <c r="K53" s="101">
        <v>212</v>
      </c>
      <c r="L53" s="88">
        <v>2368392</v>
      </c>
      <c r="M53" s="88">
        <v>0</v>
      </c>
      <c r="N53" s="88">
        <v>0</v>
      </c>
      <c r="O53" s="88">
        <f t="shared" si="7"/>
        <v>2368392</v>
      </c>
      <c r="P53" s="88">
        <v>0</v>
      </c>
      <c r="Q53" s="100">
        <f t="shared" si="8"/>
        <v>527.45801968731905</v>
      </c>
      <c r="R53" s="102">
        <v>6774</v>
      </c>
      <c r="S53" s="103">
        <v>42735</v>
      </c>
    </row>
    <row r="54" spans="1:19" customFormat="1" ht="31.5">
      <c r="A54" s="95">
        <f t="shared" si="6"/>
        <v>35</v>
      </c>
      <c r="B54" s="96" t="s">
        <v>356</v>
      </c>
      <c r="C54" s="97">
        <v>1961</v>
      </c>
      <c r="D54" s="97"/>
      <c r="E54" s="98" t="s">
        <v>143</v>
      </c>
      <c r="F54" s="99">
        <v>5</v>
      </c>
      <c r="G54" s="99">
        <v>2</v>
      </c>
      <c r="H54" s="100">
        <v>1732.1</v>
      </c>
      <c r="I54" s="100">
        <v>1608.1</v>
      </c>
      <c r="J54" s="100">
        <f>1608.1-263.9</f>
        <v>1344.1999999999998</v>
      </c>
      <c r="K54" s="101">
        <v>79</v>
      </c>
      <c r="L54" s="88">
        <v>2433930.91</v>
      </c>
      <c r="M54" s="88">
        <v>0</v>
      </c>
      <c r="N54" s="88">
        <v>0</v>
      </c>
      <c r="O54" s="88">
        <f t="shared" si="7"/>
        <v>2433930.91</v>
      </c>
      <c r="P54" s="88">
        <v>0</v>
      </c>
      <c r="Q54" s="100">
        <f t="shared" si="8"/>
        <v>1513.5444997201669</v>
      </c>
      <c r="R54" s="102">
        <v>6774</v>
      </c>
      <c r="S54" s="103">
        <v>42735</v>
      </c>
    </row>
    <row r="55" spans="1:19" customFormat="1" ht="31.5">
      <c r="A55" s="95">
        <f t="shared" si="6"/>
        <v>36</v>
      </c>
      <c r="B55" s="104" t="s">
        <v>361</v>
      </c>
      <c r="C55" s="97">
        <v>1964</v>
      </c>
      <c r="D55" s="97"/>
      <c r="E55" s="98" t="s">
        <v>143</v>
      </c>
      <c r="F55" s="99">
        <v>5</v>
      </c>
      <c r="G55" s="99">
        <v>4</v>
      </c>
      <c r="H55" s="100">
        <v>3546.4</v>
      </c>
      <c r="I55" s="100">
        <v>3310</v>
      </c>
      <c r="J55" s="100">
        <f>2518.7-27.7</f>
        <v>2491</v>
      </c>
      <c r="K55" s="101">
        <v>101</v>
      </c>
      <c r="L55" s="88">
        <v>1721850</v>
      </c>
      <c r="M55" s="88">
        <v>0</v>
      </c>
      <c r="N55" s="88">
        <v>0</v>
      </c>
      <c r="O55" s="88">
        <f t="shared" si="7"/>
        <v>1721850</v>
      </c>
      <c r="P55" s="88">
        <v>0</v>
      </c>
      <c r="Q55" s="100">
        <f t="shared" si="8"/>
        <v>520.19637462235653</v>
      </c>
      <c r="R55" s="102">
        <v>6774</v>
      </c>
      <c r="S55" s="103">
        <v>42735</v>
      </c>
    </row>
    <row r="56" spans="1:19" s="3" customFormat="1" ht="31.5">
      <c r="A56" s="95">
        <f t="shared" si="6"/>
        <v>37</v>
      </c>
      <c r="B56" s="104" t="s">
        <v>346</v>
      </c>
      <c r="C56" s="105">
        <v>1957</v>
      </c>
      <c r="D56" s="105"/>
      <c r="E56" s="98" t="s">
        <v>143</v>
      </c>
      <c r="F56" s="105">
        <v>4</v>
      </c>
      <c r="G56" s="105">
        <v>4</v>
      </c>
      <c r="H56" s="100">
        <v>3470.8</v>
      </c>
      <c r="I56" s="94">
        <v>3043.6</v>
      </c>
      <c r="J56" s="94">
        <v>2375.9</v>
      </c>
      <c r="K56" s="106">
        <v>116</v>
      </c>
      <c r="L56" s="88">
        <v>814117</v>
      </c>
      <c r="M56" s="88">
        <v>0</v>
      </c>
      <c r="N56" s="88">
        <v>0</v>
      </c>
      <c r="O56" s="88">
        <f t="shared" si="7"/>
        <v>814117</v>
      </c>
      <c r="P56" s="88">
        <v>0</v>
      </c>
      <c r="Q56" s="100">
        <f t="shared" si="8"/>
        <v>267.48488631883299</v>
      </c>
      <c r="R56" s="102">
        <v>6774</v>
      </c>
      <c r="S56" s="103">
        <v>42735</v>
      </c>
    </row>
    <row r="57" spans="1:19" customFormat="1" ht="31.5">
      <c r="A57" s="95">
        <f t="shared" si="6"/>
        <v>38</v>
      </c>
      <c r="B57" s="104" t="s">
        <v>353</v>
      </c>
      <c r="C57" s="97">
        <v>1957</v>
      </c>
      <c r="D57" s="97"/>
      <c r="E57" s="98" t="s">
        <v>143</v>
      </c>
      <c r="F57" s="99">
        <v>4</v>
      </c>
      <c r="G57" s="99">
        <v>4</v>
      </c>
      <c r="H57" s="100">
        <v>3135.2</v>
      </c>
      <c r="I57" s="100">
        <v>2702.3</v>
      </c>
      <c r="J57" s="100">
        <f>2580.3-39.91</f>
        <v>2540.3900000000003</v>
      </c>
      <c r="K57" s="101">
        <v>79</v>
      </c>
      <c r="L57" s="88">
        <v>3045081</v>
      </c>
      <c r="M57" s="88">
        <v>0</v>
      </c>
      <c r="N57" s="88">
        <v>0</v>
      </c>
      <c r="O57" s="88">
        <f t="shared" si="7"/>
        <v>3045081</v>
      </c>
      <c r="P57" s="88">
        <v>0</v>
      </c>
      <c r="Q57" s="100">
        <f t="shared" si="8"/>
        <v>1126.8478703326796</v>
      </c>
      <c r="R57" s="102">
        <v>6774</v>
      </c>
      <c r="S57" s="103">
        <v>42735</v>
      </c>
    </row>
    <row r="58" spans="1:19" customFormat="1" ht="31.5">
      <c r="A58" s="95">
        <f t="shared" si="6"/>
        <v>39</v>
      </c>
      <c r="B58" s="104" t="s">
        <v>358</v>
      </c>
      <c r="C58" s="97">
        <v>1954</v>
      </c>
      <c r="D58" s="97"/>
      <c r="E58" s="98" t="s">
        <v>143</v>
      </c>
      <c r="F58" s="99">
        <v>3</v>
      </c>
      <c r="G58" s="99">
        <v>3</v>
      </c>
      <c r="H58" s="100">
        <v>2237.1999999999998</v>
      </c>
      <c r="I58" s="100">
        <v>2031</v>
      </c>
      <c r="J58" s="100">
        <f>1514.03-266.7</f>
        <v>1247.33</v>
      </c>
      <c r="K58" s="101">
        <v>48</v>
      </c>
      <c r="L58" s="88">
        <v>2244806</v>
      </c>
      <c r="M58" s="88">
        <v>0</v>
      </c>
      <c r="N58" s="88">
        <v>0</v>
      </c>
      <c r="O58" s="88">
        <f t="shared" si="7"/>
        <v>2244806</v>
      </c>
      <c r="P58" s="88">
        <v>0</v>
      </c>
      <c r="Q58" s="100">
        <f t="shared" si="8"/>
        <v>1105.2712949286065</v>
      </c>
      <c r="R58" s="102">
        <v>6774</v>
      </c>
      <c r="S58" s="103">
        <v>42735</v>
      </c>
    </row>
    <row r="59" spans="1:19" customFormat="1" ht="31.5">
      <c r="A59" s="95">
        <f t="shared" si="6"/>
        <v>40</v>
      </c>
      <c r="B59" s="104" t="s">
        <v>352</v>
      </c>
      <c r="C59" s="97">
        <v>1963</v>
      </c>
      <c r="D59" s="97"/>
      <c r="E59" s="98" t="s">
        <v>143</v>
      </c>
      <c r="F59" s="99">
        <v>4</v>
      </c>
      <c r="G59" s="99">
        <v>2</v>
      </c>
      <c r="H59" s="100">
        <v>1382.1</v>
      </c>
      <c r="I59" s="100">
        <v>1272.0999999999999</v>
      </c>
      <c r="J59" s="100">
        <f>1272.1-45.5</f>
        <v>1226.5999999999999</v>
      </c>
      <c r="K59" s="101">
        <v>53</v>
      </c>
      <c r="L59" s="88">
        <v>1361273</v>
      </c>
      <c r="M59" s="88">
        <v>0</v>
      </c>
      <c r="N59" s="88">
        <v>0</v>
      </c>
      <c r="O59" s="88">
        <f t="shared" si="7"/>
        <v>1361273</v>
      </c>
      <c r="P59" s="88">
        <v>0</v>
      </c>
      <c r="Q59" s="100">
        <f t="shared" si="8"/>
        <v>1070.099048816917</v>
      </c>
      <c r="R59" s="102">
        <v>6774</v>
      </c>
      <c r="S59" s="103">
        <v>42735</v>
      </c>
    </row>
    <row r="60" spans="1:19" customFormat="1" ht="31.5">
      <c r="A60" s="95">
        <f t="shared" si="6"/>
        <v>41</v>
      </c>
      <c r="B60" s="104" t="s">
        <v>603</v>
      </c>
      <c r="C60" s="97">
        <v>1959</v>
      </c>
      <c r="D60" s="97"/>
      <c r="E60" s="98" t="s">
        <v>143</v>
      </c>
      <c r="F60" s="99">
        <v>4</v>
      </c>
      <c r="G60" s="99">
        <v>4</v>
      </c>
      <c r="H60" s="100">
        <v>2847.5</v>
      </c>
      <c r="I60" s="100">
        <v>2284.5</v>
      </c>
      <c r="J60" s="100">
        <v>2284.5</v>
      </c>
      <c r="K60" s="101">
        <v>78</v>
      </c>
      <c r="L60" s="88">
        <v>2421596</v>
      </c>
      <c r="M60" s="88">
        <v>0</v>
      </c>
      <c r="N60" s="88">
        <v>0</v>
      </c>
      <c r="O60" s="88">
        <f t="shared" si="7"/>
        <v>2421596</v>
      </c>
      <c r="P60" s="88">
        <v>0</v>
      </c>
      <c r="Q60" s="100">
        <f t="shared" si="8"/>
        <v>1060.0113810461808</v>
      </c>
      <c r="R60" s="102">
        <v>6774</v>
      </c>
      <c r="S60" s="103">
        <v>42735</v>
      </c>
    </row>
    <row r="61" spans="1:19" customFormat="1" ht="31.5">
      <c r="A61" s="95">
        <f t="shared" si="6"/>
        <v>42</v>
      </c>
      <c r="B61" s="104" t="s">
        <v>357</v>
      </c>
      <c r="C61" s="97">
        <v>1967</v>
      </c>
      <c r="D61" s="97"/>
      <c r="E61" s="98" t="s">
        <v>143</v>
      </c>
      <c r="F61" s="99">
        <v>6</v>
      </c>
      <c r="G61" s="99">
        <v>5</v>
      </c>
      <c r="H61" s="100">
        <v>5871.4</v>
      </c>
      <c r="I61" s="100">
        <v>5136.3</v>
      </c>
      <c r="J61" s="100">
        <v>3519.89</v>
      </c>
      <c r="K61" s="101">
        <v>206</v>
      </c>
      <c r="L61" s="88">
        <v>2056315</v>
      </c>
      <c r="M61" s="88">
        <v>0</v>
      </c>
      <c r="N61" s="88">
        <v>0</v>
      </c>
      <c r="O61" s="88">
        <f t="shared" si="7"/>
        <v>2056315</v>
      </c>
      <c r="P61" s="88">
        <v>0</v>
      </c>
      <c r="Q61" s="100">
        <f t="shared" si="8"/>
        <v>400.34947335630704</v>
      </c>
      <c r="R61" s="102">
        <v>6774</v>
      </c>
      <c r="S61" s="103">
        <v>42735</v>
      </c>
    </row>
    <row r="62" spans="1:19" customFormat="1" ht="31.5">
      <c r="A62" s="95">
        <f t="shared" si="6"/>
        <v>43</v>
      </c>
      <c r="B62" s="104" t="s">
        <v>350</v>
      </c>
      <c r="C62" s="105">
        <v>1975</v>
      </c>
      <c r="D62" s="105"/>
      <c r="E62" s="98" t="s">
        <v>143</v>
      </c>
      <c r="F62" s="105">
        <v>9</v>
      </c>
      <c r="G62" s="105">
        <v>5</v>
      </c>
      <c r="H62" s="100">
        <v>14731.4</v>
      </c>
      <c r="I62" s="94">
        <v>14731.4</v>
      </c>
      <c r="J62" s="94">
        <f>10558.9-1007.1</f>
        <v>9551.7999999999993</v>
      </c>
      <c r="K62" s="106">
        <v>240</v>
      </c>
      <c r="L62" s="88">
        <v>9473593</v>
      </c>
      <c r="M62" s="88">
        <v>0</v>
      </c>
      <c r="N62" s="88">
        <v>0</v>
      </c>
      <c r="O62" s="88">
        <f t="shared" si="7"/>
        <v>9473593</v>
      </c>
      <c r="P62" s="88">
        <v>0</v>
      </c>
      <c r="Q62" s="100">
        <f t="shared" si="8"/>
        <v>643.08843694421444</v>
      </c>
      <c r="R62" s="102">
        <v>6774</v>
      </c>
      <c r="S62" s="103">
        <v>42735</v>
      </c>
    </row>
    <row r="63" spans="1:19" customFormat="1" ht="31.5">
      <c r="A63" s="95">
        <f t="shared" si="6"/>
        <v>44</v>
      </c>
      <c r="B63" s="96" t="s">
        <v>268</v>
      </c>
      <c r="C63" s="95">
        <v>1968</v>
      </c>
      <c r="D63" s="97"/>
      <c r="E63" s="98" t="s">
        <v>143</v>
      </c>
      <c r="F63" s="97">
        <v>5</v>
      </c>
      <c r="G63" s="97">
        <v>6</v>
      </c>
      <c r="H63" s="100">
        <v>4924.7</v>
      </c>
      <c r="I63" s="89">
        <v>4442.6400000000003</v>
      </c>
      <c r="J63" s="89">
        <v>3930.84</v>
      </c>
      <c r="K63" s="87">
        <v>252</v>
      </c>
      <c r="L63" s="88">
        <v>4441828</v>
      </c>
      <c r="M63" s="88">
        <v>0</v>
      </c>
      <c r="N63" s="88">
        <v>0</v>
      </c>
      <c r="O63" s="88">
        <f t="shared" si="7"/>
        <v>4441828</v>
      </c>
      <c r="P63" s="88">
        <v>0</v>
      </c>
      <c r="Q63" s="100">
        <f t="shared" si="8"/>
        <v>999.81722579367215</v>
      </c>
      <c r="R63" s="102">
        <v>6774</v>
      </c>
      <c r="S63" s="103">
        <v>42735</v>
      </c>
    </row>
    <row r="64" spans="1:19" customFormat="1" ht="15.75">
      <c r="A64" s="95">
        <f t="shared" si="6"/>
        <v>45</v>
      </c>
      <c r="B64" s="104" t="s">
        <v>272</v>
      </c>
      <c r="C64" s="97">
        <v>1977</v>
      </c>
      <c r="D64" s="97"/>
      <c r="E64" s="98" t="s">
        <v>144</v>
      </c>
      <c r="F64" s="99">
        <v>5</v>
      </c>
      <c r="G64" s="99">
        <v>8</v>
      </c>
      <c r="H64" s="100">
        <v>6044.1</v>
      </c>
      <c r="I64" s="100">
        <v>6003.9</v>
      </c>
      <c r="J64" s="100">
        <f>I64-754.7</f>
        <v>5249.2</v>
      </c>
      <c r="K64" s="101">
        <v>279</v>
      </c>
      <c r="L64" s="88">
        <v>3051089</v>
      </c>
      <c r="M64" s="88">
        <v>0</v>
      </c>
      <c r="N64" s="88">
        <v>0</v>
      </c>
      <c r="O64" s="88">
        <f t="shared" si="7"/>
        <v>3051089</v>
      </c>
      <c r="P64" s="88">
        <v>0</v>
      </c>
      <c r="Q64" s="100">
        <f t="shared" si="8"/>
        <v>508.1845133996236</v>
      </c>
      <c r="R64" s="102">
        <v>6774</v>
      </c>
      <c r="S64" s="103">
        <v>42735</v>
      </c>
    </row>
    <row r="65" spans="1:19" customFormat="1" ht="31.5">
      <c r="A65" s="95">
        <f t="shared" si="6"/>
        <v>46</v>
      </c>
      <c r="B65" s="96" t="s">
        <v>364</v>
      </c>
      <c r="C65" s="105">
        <v>1956</v>
      </c>
      <c r="D65" s="105"/>
      <c r="E65" s="98" t="s">
        <v>143</v>
      </c>
      <c r="F65" s="105">
        <v>2</v>
      </c>
      <c r="G65" s="105">
        <v>2</v>
      </c>
      <c r="H65" s="100">
        <f>413.4+44.2</f>
        <v>457.59999999999997</v>
      </c>
      <c r="I65" s="94">
        <v>413.4</v>
      </c>
      <c r="J65" s="94">
        <f>413.4-113.4</f>
        <v>300</v>
      </c>
      <c r="K65" s="106">
        <v>26</v>
      </c>
      <c r="L65" s="88">
        <v>869749</v>
      </c>
      <c r="M65" s="88">
        <v>0</v>
      </c>
      <c r="N65" s="88">
        <v>0</v>
      </c>
      <c r="O65" s="88">
        <f t="shared" si="7"/>
        <v>869749</v>
      </c>
      <c r="P65" s="88">
        <v>0</v>
      </c>
      <c r="Q65" s="100">
        <f t="shared" si="8"/>
        <v>2103.892114175133</v>
      </c>
      <c r="R65" s="102">
        <v>6774</v>
      </c>
      <c r="S65" s="103">
        <v>42735</v>
      </c>
    </row>
    <row r="66" spans="1:19" customFormat="1" ht="31.5">
      <c r="A66" s="95">
        <f t="shared" si="6"/>
        <v>47</v>
      </c>
      <c r="B66" s="96" t="s">
        <v>597</v>
      </c>
      <c r="C66" s="97">
        <v>1956</v>
      </c>
      <c r="D66" s="97"/>
      <c r="E66" s="98" t="s">
        <v>143</v>
      </c>
      <c r="F66" s="99">
        <v>2</v>
      </c>
      <c r="G66" s="99">
        <v>2</v>
      </c>
      <c r="H66" s="100">
        <v>457.6</v>
      </c>
      <c r="I66" s="100">
        <v>413.4</v>
      </c>
      <c r="J66" s="100">
        <f>413.4-113.4</f>
        <v>300</v>
      </c>
      <c r="K66" s="101">
        <v>26</v>
      </c>
      <c r="L66" s="88">
        <v>869880</v>
      </c>
      <c r="M66" s="88">
        <v>0</v>
      </c>
      <c r="N66" s="88">
        <v>0</v>
      </c>
      <c r="O66" s="88">
        <f t="shared" si="7"/>
        <v>869880</v>
      </c>
      <c r="P66" s="88">
        <v>0</v>
      </c>
      <c r="Q66" s="100">
        <f t="shared" si="8"/>
        <v>2104.2089985486214</v>
      </c>
      <c r="R66" s="102">
        <v>6774</v>
      </c>
      <c r="S66" s="103">
        <v>42735</v>
      </c>
    </row>
    <row r="67" spans="1:19" customFormat="1" ht="31.5">
      <c r="A67" s="95">
        <f t="shared" si="6"/>
        <v>48</v>
      </c>
      <c r="B67" s="104" t="s">
        <v>598</v>
      </c>
      <c r="C67" s="97">
        <v>1959</v>
      </c>
      <c r="D67" s="107"/>
      <c r="E67" s="98" t="s">
        <v>143</v>
      </c>
      <c r="F67" s="99">
        <v>2</v>
      </c>
      <c r="G67" s="99">
        <v>2</v>
      </c>
      <c r="H67" s="100">
        <v>709.6</v>
      </c>
      <c r="I67" s="100">
        <v>630.79999999999995</v>
      </c>
      <c r="J67" s="100">
        <f>630.8-132.6</f>
        <v>498.19999999999993</v>
      </c>
      <c r="K67" s="101">
        <v>31</v>
      </c>
      <c r="L67" s="88">
        <v>172302</v>
      </c>
      <c r="M67" s="88">
        <v>0</v>
      </c>
      <c r="N67" s="88">
        <v>0</v>
      </c>
      <c r="O67" s="88">
        <f t="shared" si="7"/>
        <v>172302</v>
      </c>
      <c r="P67" s="88">
        <v>0</v>
      </c>
      <c r="Q67" s="100">
        <f t="shared" si="8"/>
        <v>273.14838300570705</v>
      </c>
      <c r="R67" s="102">
        <v>6774</v>
      </c>
      <c r="S67" s="103">
        <v>42735</v>
      </c>
    </row>
    <row r="68" spans="1:19" customFormat="1" ht="31.5">
      <c r="A68" s="95">
        <f t="shared" si="6"/>
        <v>49</v>
      </c>
      <c r="B68" s="104" t="s">
        <v>367</v>
      </c>
      <c r="C68" s="97">
        <v>1910</v>
      </c>
      <c r="D68" s="97"/>
      <c r="E68" s="98" t="s">
        <v>143</v>
      </c>
      <c r="F68" s="99">
        <v>4</v>
      </c>
      <c r="G68" s="99">
        <v>1</v>
      </c>
      <c r="H68" s="100">
        <v>3725.7</v>
      </c>
      <c r="I68" s="100">
        <v>1647.4</v>
      </c>
      <c r="J68" s="100">
        <f>1647.4-1262.4</f>
        <v>385</v>
      </c>
      <c r="K68" s="101">
        <v>140</v>
      </c>
      <c r="L68" s="88">
        <v>3706393</v>
      </c>
      <c r="M68" s="88">
        <v>0</v>
      </c>
      <c r="N68" s="88">
        <v>0</v>
      </c>
      <c r="O68" s="88">
        <f t="shared" si="7"/>
        <v>3706393</v>
      </c>
      <c r="P68" s="88">
        <v>0</v>
      </c>
      <c r="Q68" s="100">
        <f t="shared" si="8"/>
        <v>2249.843996600704</v>
      </c>
      <c r="R68" s="102">
        <v>6774</v>
      </c>
      <c r="S68" s="103">
        <v>42735</v>
      </c>
    </row>
    <row r="69" spans="1:19" customFormat="1" ht="31.5">
      <c r="A69" s="95">
        <f t="shared" si="6"/>
        <v>50</v>
      </c>
      <c r="B69" s="104" t="s">
        <v>241</v>
      </c>
      <c r="C69" s="105">
        <v>1914</v>
      </c>
      <c r="D69" s="105"/>
      <c r="E69" s="98" t="s">
        <v>143</v>
      </c>
      <c r="F69" s="105">
        <v>4</v>
      </c>
      <c r="G69" s="105">
        <v>5</v>
      </c>
      <c r="H69" s="100">
        <v>2953.4</v>
      </c>
      <c r="I69" s="94">
        <v>2592.5</v>
      </c>
      <c r="J69" s="94">
        <f>2592.5-231.93</f>
        <v>2360.5700000000002</v>
      </c>
      <c r="K69" s="106">
        <v>72</v>
      </c>
      <c r="L69" s="88">
        <v>698585</v>
      </c>
      <c r="M69" s="88">
        <v>0</v>
      </c>
      <c r="N69" s="88">
        <v>0</v>
      </c>
      <c r="O69" s="88">
        <f t="shared" si="7"/>
        <v>698585</v>
      </c>
      <c r="P69" s="88">
        <v>0</v>
      </c>
      <c r="Q69" s="100">
        <f t="shared" si="8"/>
        <v>269.46383799421409</v>
      </c>
      <c r="R69" s="102">
        <v>6774</v>
      </c>
      <c r="S69" s="103">
        <v>42735</v>
      </c>
    </row>
    <row r="70" spans="1:19" customFormat="1" ht="31.5">
      <c r="A70" s="95">
        <f t="shared" si="6"/>
        <v>51</v>
      </c>
      <c r="B70" s="104" t="s">
        <v>362</v>
      </c>
      <c r="C70" s="105" t="s">
        <v>124</v>
      </c>
      <c r="D70" s="105"/>
      <c r="E70" s="98" t="s">
        <v>143</v>
      </c>
      <c r="F70" s="105">
        <v>2</v>
      </c>
      <c r="G70" s="105">
        <v>3</v>
      </c>
      <c r="H70" s="100">
        <v>967.5</v>
      </c>
      <c r="I70" s="94">
        <v>833</v>
      </c>
      <c r="J70" s="94">
        <f>833-567.1</f>
        <v>265.89999999999998</v>
      </c>
      <c r="K70" s="106">
        <v>31</v>
      </c>
      <c r="L70" s="88">
        <v>951740</v>
      </c>
      <c r="M70" s="88">
        <v>0</v>
      </c>
      <c r="N70" s="88">
        <v>0</v>
      </c>
      <c r="O70" s="88">
        <f t="shared" si="7"/>
        <v>951740</v>
      </c>
      <c r="P70" s="88">
        <v>0</v>
      </c>
      <c r="Q70" s="100">
        <f t="shared" si="8"/>
        <v>1142.5450180072028</v>
      </c>
      <c r="R70" s="102">
        <v>6774</v>
      </c>
      <c r="S70" s="103">
        <v>42735</v>
      </c>
    </row>
    <row r="71" spans="1:19" customFormat="1" ht="31.5">
      <c r="A71" s="95">
        <f t="shared" si="6"/>
        <v>52</v>
      </c>
      <c r="B71" s="96" t="s">
        <v>172</v>
      </c>
      <c r="C71" s="105">
        <v>1953</v>
      </c>
      <c r="D71" s="105"/>
      <c r="E71" s="98" t="s">
        <v>143</v>
      </c>
      <c r="F71" s="105">
        <v>3</v>
      </c>
      <c r="G71" s="105">
        <v>3</v>
      </c>
      <c r="H71" s="100">
        <v>2198.6</v>
      </c>
      <c r="I71" s="94">
        <v>1824.9</v>
      </c>
      <c r="J71" s="94">
        <v>1824.9</v>
      </c>
      <c r="K71" s="106">
        <v>56</v>
      </c>
      <c r="L71" s="88">
        <v>2056139</v>
      </c>
      <c r="M71" s="88">
        <v>0</v>
      </c>
      <c r="N71" s="88">
        <v>0</v>
      </c>
      <c r="O71" s="88">
        <f t="shared" si="7"/>
        <v>2056139</v>
      </c>
      <c r="P71" s="88">
        <v>0</v>
      </c>
      <c r="Q71" s="100">
        <f t="shared" si="8"/>
        <v>1126.7132445613458</v>
      </c>
      <c r="R71" s="102">
        <v>6774</v>
      </c>
      <c r="S71" s="103">
        <v>42735</v>
      </c>
    </row>
    <row r="72" spans="1:19" customFormat="1" ht="31.5">
      <c r="A72" s="95">
        <f t="shared" si="6"/>
        <v>53</v>
      </c>
      <c r="B72" s="104" t="s">
        <v>199</v>
      </c>
      <c r="C72" s="95">
        <v>1958</v>
      </c>
      <c r="D72" s="97"/>
      <c r="E72" s="98" t="s">
        <v>143</v>
      </c>
      <c r="F72" s="97">
        <v>2</v>
      </c>
      <c r="G72" s="97">
        <v>2</v>
      </c>
      <c r="H72" s="100">
        <v>958</v>
      </c>
      <c r="I72" s="89">
        <v>636.9</v>
      </c>
      <c r="J72" s="89">
        <v>636.9</v>
      </c>
      <c r="K72" s="87">
        <v>35</v>
      </c>
      <c r="L72" s="88">
        <v>1321356</v>
      </c>
      <c r="M72" s="88">
        <v>0</v>
      </c>
      <c r="N72" s="88">
        <v>0</v>
      </c>
      <c r="O72" s="88">
        <f t="shared" si="7"/>
        <v>1321356</v>
      </c>
      <c r="P72" s="88">
        <v>0</v>
      </c>
      <c r="Q72" s="100">
        <f t="shared" si="8"/>
        <v>2074.6679227508243</v>
      </c>
      <c r="R72" s="102">
        <v>6774</v>
      </c>
      <c r="S72" s="103">
        <v>42735</v>
      </c>
    </row>
    <row r="73" spans="1:19" customFormat="1" ht="31.5">
      <c r="A73" s="95">
        <f t="shared" si="6"/>
        <v>54</v>
      </c>
      <c r="B73" s="104" t="s">
        <v>262</v>
      </c>
      <c r="C73" s="105">
        <v>1959</v>
      </c>
      <c r="D73" s="105"/>
      <c r="E73" s="98" t="s">
        <v>143</v>
      </c>
      <c r="F73" s="105">
        <v>2</v>
      </c>
      <c r="G73" s="105">
        <v>2</v>
      </c>
      <c r="H73" s="100">
        <v>691.2</v>
      </c>
      <c r="I73" s="94">
        <v>646.5</v>
      </c>
      <c r="J73" s="94">
        <v>646.5</v>
      </c>
      <c r="K73" s="106">
        <v>35</v>
      </c>
      <c r="L73" s="88">
        <v>1679278</v>
      </c>
      <c r="M73" s="88">
        <v>0</v>
      </c>
      <c r="N73" s="88">
        <v>0</v>
      </c>
      <c r="O73" s="88">
        <f t="shared" si="7"/>
        <v>1679278</v>
      </c>
      <c r="P73" s="88">
        <v>0</v>
      </c>
      <c r="Q73" s="100">
        <f t="shared" si="8"/>
        <v>2597.4911059551432</v>
      </c>
      <c r="R73" s="102">
        <v>6774</v>
      </c>
      <c r="S73" s="103">
        <v>42735</v>
      </c>
    </row>
    <row r="74" spans="1:19" customFormat="1" ht="31.5">
      <c r="A74" s="95">
        <f t="shared" si="6"/>
        <v>55</v>
      </c>
      <c r="B74" s="104" t="s">
        <v>197</v>
      </c>
      <c r="C74" s="105">
        <v>1959</v>
      </c>
      <c r="D74" s="105"/>
      <c r="E74" s="98" t="s">
        <v>143</v>
      </c>
      <c r="F74" s="105">
        <v>2</v>
      </c>
      <c r="G74" s="105">
        <v>2</v>
      </c>
      <c r="H74" s="100">
        <v>694.1</v>
      </c>
      <c r="I74" s="94">
        <v>645.20000000000005</v>
      </c>
      <c r="J74" s="94">
        <v>645.20000000000005</v>
      </c>
      <c r="K74" s="106">
        <v>33</v>
      </c>
      <c r="L74" s="88">
        <v>1100896</v>
      </c>
      <c r="M74" s="88">
        <v>0</v>
      </c>
      <c r="N74" s="88">
        <v>0</v>
      </c>
      <c r="O74" s="88">
        <f t="shared" si="7"/>
        <v>1100896</v>
      </c>
      <c r="P74" s="88">
        <v>0</v>
      </c>
      <c r="Q74" s="100">
        <f t="shared" si="8"/>
        <v>1706.2864228146309</v>
      </c>
      <c r="R74" s="102">
        <v>6774</v>
      </c>
      <c r="S74" s="103">
        <v>42735</v>
      </c>
    </row>
    <row r="75" spans="1:19" customFormat="1" ht="31.5">
      <c r="A75" s="95">
        <f t="shared" si="6"/>
        <v>56</v>
      </c>
      <c r="B75" s="104" t="s">
        <v>261</v>
      </c>
      <c r="C75" s="105">
        <v>1959</v>
      </c>
      <c r="D75" s="105"/>
      <c r="E75" s="98" t="s">
        <v>143</v>
      </c>
      <c r="F75" s="105">
        <v>2</v>
      </c>
      <c r="G75" s="105">
        <v>2</v>
      </c>
      <c r="H75" s="100">
        <v>700.6</v>
      </c>
      <c r="I75" s="94">
        <v>651.9</v>
      </c>
      <c r="J75" s="94">
        <v>651.9</v>
      </c>
      <c r="K75" s="106">
        <v>26</v>
      </c>
      <c r="L75" s="88">
        <v>1729707</v>
      </c>
      <c r="M75" s="88">
        <v>0</v>
      </c>
      <c r="N75" s="88">
        <v>0</v>
      </c>
      <c r="O75" s="88">
        <f t="shared" si="7"/>
        <v>1729707</v>
      </c>
      <c r="P75" s="88">
        <v>0</v>
      </c>
      <c r="Q75" s="100">
        <f t="shared" si="8"/>
        <v>2653.3317993557293</v>
      </c>
      <c r="R75" s="102">
        <v>6774</v>
      </c>
      <c r="S75" s="103">
        <v>42735</v>
      </c>
    </row>
    <row r="76" spans="1:19" customFormat="1" ht="31.5">
      <c r="A76" s="95">
        <f t="shared" si="6"/>
        <v>57</v>
      </c>
      <c r="B76" s="96" t="s">
        <v>182</v>
      </c>
      <c r="C76" s="105">
        <v>1959</v>
      </c>
      <c r="D76" s="105"/>
      <c r="E76" s="98" t="s">
        <v>143</v>
      </c>
      <c r="F76" s="105">
        <v>2</v>
      </c>
      <c r="G76" s="105">
        <v>2</v>
      </c>
      <c r="H76" s="100">
        <v>687.5</v>
      </c>
      <c r="I76" s="94">
        <v>638.6</v>
      </c>
      <c r="J76" s="94">
        <v>638.6</v>
      </c>
      <c r="K76" s="106">
        <v>26</v>
      </c>
      <c r="L76" s="88">
        <v>451222.57</v>
      </c>
      <c r="M76" s="88">
        <v>0</v>
      </c>
      <c r="N76" s="88">
        <v>0</v>
      </c>
      <c r="O76" s="88">
        <f t="shared" si="7"/>
        <v>451222.57</v>
      </c>
      <c r="P76" s="88">
        <v>0</v>
      </c>
      <c r="Q76" s="100">
        <f t="shared" si="8"/>
        <v>706.58091136861879</v>
      </c>
      <c r="R76" s="102">
        <v>6774</v>
      </c>
      <c r="S76" s="103">
        <v>42735</v>
      </c>
    </row>
    <row r="77" spans="1:19" customFormat="1" ht="31.5">
      <c r="A77" s="95">
        <f t="shared" si="6"/>
        <v>58</v>
      </c>
      <c r="B77" s="104" t="s">
        <v>231</v>
      </c>
      <c r="C77" s="97">
        <v>1959</v>
      </c>
      <c r="D77" s="97"/>
      <c r="E77" s="98" t="s">
        <v>143</v>
      </c>
      <c r="F77" s="99">
        <v>2</v>
      </c>
      <c r="G77" s="99">
        <v>1</v>
      </c>
      <c r="H77" s="100">
        <f>371.9+30.8</f>
        <v>402.7</v>
      </c>
      <c r="I77" s="100">
        <v>371.9</v>
      </c>
      <c r="J77" s="100">
        <f>371.9-55.3</f>
        <v>316.59999999999997</v>
      </c>
      <c r="K77" s="101">
        <v>27</v>
      </c>
      <c r="L77" s="88">
        <v>703675.57</v>
      </c>
      <c r="M77" s="88">
        <v>0</v>
      </c>
      <c r="N77" s="88">
        <v>0</v>
      </c>
      <c r="O77" s="88">
        <f t="shared" si="7"/>
        <v>703675.57</v>
      </c>
      <c r="P77" s="88">
        <v>0</v>
      </c>
      <c r="Q77" s="100">
        <f t="shared" si="8"/>
        <v>1892.1096262436138</v>
      </c>
      <c r="R77" s="102">
        <v>6774</v>
      </c>
      <c r="S77" s="103">
        <v>42735</v>
      </c>
    </row>
    <row r="78" spans="1:19" customFormat="1" ht="31.5">
      <c r="A78" s="95">
        <f t="shared" si="6"/>
        <v>59</v>
      </c>
      <c r="B78" s="104" t="s">
        <v>193</v>
      </c>
      <c r="C78" s="105">
        <v>1959</v>
      </c>
      <c r="D78" s="105"/>
      <c r="E78" s="98" t="s">
        <v>143</v>
      </c>
      <c r="F78" s="105">
        <v>4</v>
      </c>
      <c r="G78" s="105">
        <v>3</v>
      </c>
      <c r="H78" s="100">
        <v>2573</v>
      </c>
      <c r="I78" s="94">
        <v>2419</v>
      </c>
      <c r="J78" s="94">
        <f>2419-204.19</f>
        <v>2214.81</v>
      </c>
      <c r="K78" s="106">
        <v>129</v>
      </c>
      <c r="L78" s="88">
        <v>1053533.22</v>
      </c>
      <c r="M78" s="88">
        <v>0</v>
      </c>
      <c r="N78" s="88">
        <v>0</v>
      </c>
      <c r="O78" s="88">
        <f t="shared" si="7"/>
        <v>1053533.22</v>
      </c>
      <c r="P78" s="88">
        <v>0</v>
      </c>
      <c r="Q78" s="100">
        <f t="shared" si="8"/>
        <v>435.52427449359237</v>
      </c>
      <c r="R78" s="102">
        <v>6774</v>
      </c>
      <c r="S78" s="103">
        <v>42735</v>
      </c>
    </row>
    <row r="79" spans="1:19" customFormat="1" ht="31.5">
      <c r="A79" s="95">
        <f t="shared" si="6"/>
        <v>60</v>
      </c>
      <c r="B79" s="96" t="s">
        <v>171</v>
      </c>
      <c r="C79" s="105">
        <v>1979</v>
      </c>
      <c r="D79" s="105"/>
      <c r="E79" s="98" t="s">
        <v>143</v>
      </c>
      <c r="F79" s="105">
        <v>9</v>
      </c>
      <c r="G79" s="105">
        <v>1</v>
      </c>
      <c r="H79" s="100">
        <v>3730.3</v>
      </c>
      <c r="I79" s="94">
        <v>3232.9</v>
      </c>
      <c r="J79" s="94">
        <f>3232.9-104.2</f>
        <v>3128.7000000000003</v>
      </c>
      <c r="K79" s="106">
        <v>131</v>
      </c>
      <c r="L79" s="88">
        <v>1253738</v>
      </c>
      <c r="M79" s="88">
        <v>0</v>
      </c>
      <c r="N79" s="88">
        <v>0</v>
      </c>
      <c r="O79" s="88">
        <f t="shared" si="7"/>
        <v>1253738</v>
      </c>
      <c r="P79" s="88">
        <v>0</v>
      </c>
      <c r="Q79" s="100">
        <f t="shared" si="8"/>
        <v>387.80599461783538</v>
      </c>
      <c r="R79" s="102">
        <v>6774</v>
      </c>
      <c r="S79" s="103">
        <v>42735</v>
      </c>
    </row>
    <row r="80" spans="1:19" customFormat="1" ht="15.75">
      <c r="A80" s="95">
        <f t="shared" si="6"/>
        <v>61</v>
      </c>
      <c r="B80" s="104" t="s">
        <v>604</v>
      </c>
      <c r="C80" s="97">
        <v>1984</v>
      </c>
      <c r="D80" s="97"/>
      <c r="E80" s="98" t="s">
        <v>144</v>
      </c>
      <c r="F80" s="99">
        <v>9</v>
      </c>
      <c r="G80" s="99">
        <v>1</v>
      </c>
      <c r="H80" s="100">
        <v>3002.5</v>
      </c>
      <c r="I80" s="100">
        <v>2973</v>
      </c>
      <c r="J80" s="100">
        <f>2973-397.5</f>
        <v>2575.5</v>
      </c>
      <c r="K80" s="101">
        <v>131</v>
      </c>
      <c r="L80" s="88">
        <v>1870046</v>
      </c>
      <c r="M80" s="88">
        <v>0</v>
      </c>
      <c r="N80" s="88">
        <v>0</v>
      </c>
      <c r="O80" s="88">
        <f t="shared" si="7"/>
        <v>1870046</v>
      </c>
      <c r="P80" s="88">
        <v>0</v>
      </c>
      <c r="Q80" s="100">
        <f t="shared" si="8"/>
        <v>629.00975445677761</v>
      </c>
      <c r="R80" s="102">
        <v>6774</v>
      </c>
      <c r="S80" s="103">
        <v>42735</v>
      </c>
    </row>
    <row r="81" spans="1:19" customFormat="1" ht="15.75">
      <c r="A81" s="95">
        <f t="shared" si="6"/>
        <v>62</v>
      </c>
      <c r="B81" s="104" t="s">
        <v>274</v>
      </c>
      <c r="C81" s="97">
        <v>1984</v>
      </c>
      <c r="D81" s="97"/>
      <c r="E81" s="98" t="s">
        <v>144</v>
      </c>
      <c r="F81" s="99">
        <v>9</v>
      </c>
      <c r="G81" s="99">
        <v>2</v>
      </c>
      <c r="H81" s="100">
        <v>4409.3999999999996</v>
      </c>
      <c r="I81" s="100">
        <v>3852.5</v>
      </c>
      <c r="J81" s="100">
        <v>3852.5</v>
      </c>
      <c r="K81" s="101">
        <v>159</v>
      </c>
      <c r="L81" s="88">
        <v>3720676</v>
      </c>
      <c r="M81" s="88">
        <v>0</v>
      </c>
      <c r="N81" s="88">
        <v>0</v>
      </c>
      <c r="O81" s="88">
        <f t="shared" si="7"/>
        <v>3720676</v>
      </c>
      <c r="P81" s="88">
        <v>0</v>
      </c>
      <c r="Q81" s="100">
        <f t="shared" si="8"/>
        <v>965.7822193380922</v>
      </c>
      <c r="R81" s="102">
        <v>6774</v>
      </c>
      <c r="S81" s="103">
        <v>42735</v>
      </c>
    </row>
    <row r="82" spans="1:19" customFormat="1" ht="31.5">
      <c r="A82" s="95">
        <f t="shared" si="6"/>
        <v>63</v>
      </c>
      <c r="B82" s="104" t="s">
        <v>176</v>
      </c>
      <c r="C82" s="105">
        <v>1977</v>
      </c>
      <c r="D82" s="105"/>
      <c r="E82" s="98" t="s">
        <v>143</v>
      </c>
      <c r="F82" s="105">
        <v>5</v>
      </c>
      <c r="G82" s="105">
        <v>6</v>
      </c>
      <c r="H82" s="100">
        <v>4612</v>
      </c>
      <c r="I82" s="94">
        <v>4552.5</v>
      </c>
      <c r="J82" s="94">
        <f>4461.8-285.7</f>
        <v>4176.1000000000004</v>
      </c>
      <c r="K82" s="106">
        <v>191</v>
      </c>
      <c r="L82" s="88">
        <v>3687908</v>
      </c>
      <c r="M82" s="88">
        <v>0</v>
      </c>
      <c r="N82" s="88">
        <v>0</v>
      </c>
      <c r="O82" s="88">
        <f t="shared" si="7"/>
        <v>3687908</v>
      </c>
      <c r="P82" s="88">
        <v>0</v>
      </c>
      <c r="Q82" s="100">
        <f t="shared" si="8"/>
        <v>810.08412959912141</v>
      </c>
      <c r="R82" s="102">
        <v>6774</v>
      </c>
      <c r="S82" s="103">
        <v>42735</v>
      </c>
    </row>
    <row r="83" spans="1:19" customFormat="1" ht="31.5">
      <c r="A83" s="95">
        <f t="shared" si="6"/>
        <v>64</v>
      </c>
      <c r="B83" s="104" t="s">
        <v>152</v>
      </c>
      <c r="C83" s="105">
        <v>1933</v>
      </c>
      <c r="D83" s="105"/>
      <c r="E83" s="98" t="s">
        <v>143</v>
      </c>
      <c r="F83" s="105">
        <v>4</v>
      </c>
      <c r="G83" s="105">
        <v>5</v>
      </c>
      <c r="H83" s="100">
        <v>2199.39</v>
      </c>
      <c r="I83" s="94">
        <v>1970.09</v>
      </c>
      <c r="J83" s="94">
        <f>1970.09-126.56</f>
        <v>1843.53</v>
      </c>
      <c r="K83" s="106">
        <v>88</v>
      </c>
      <c r="L83" s="88">
        <v>1760967.35</v>
      </c>
      <c r="M83" s="88">
        <v>0</v>
      </c>
      <c r="N83" s="88">
        <v>0</v>
      </c>
      <c r="O83" s="88">
        <f t="shared" si="7"/>
        <v>1760967.35</v>
      </c>
      <c r="P83" s="88">
        <v>0</v>
      </c>
      <c r="Q83" s="100">
        <f t="shared" si="8"/>
        <v>893.85121999502564</v>
      </c>
      <c r="R83" s="102">
        <v>6774</v>
      </c>
      <c r="S83" s="103">
        <v>42735</v>
      </c>
    </row>
    <row r="84" spans="1:19" customFormat="1" ht="31.5">
      <c r="A84" s="95">
        <f t="shared" si="6"/>
        <v>65</v>
      </c>
      <c r="B84" s="104" t="s">
        <v>196</v>
      </c>
      <c r="C84" s="105">
        <v>1961</v>
      </c>
      <c r="D84" s="105"/>
      <c r="E84" s="98" t="s">
        <v>143</v>
      </c>
      <c r="F84" s="105">
        <v>5</v>
      </c>
      <c r="G84" s="105">
        <v>4</v>
      </c>
      <c r="H84" s="100">
        <v>3877.5</v>
      </c>
      <c r="I84" s="94">
        <v>3271.1</v>
      </c>
      <c r="J84" s="94">
        <f>2551.3</f>
        <v>2551.3000000000002</v>
      </c>
      <c r="K84" s="106">
        <v>64</v>
      </c>
      <c r="L84" s="88">
        <v>881947</v>
      </c>
      <c r="M84" s="88">
        <v>0</v>
      </c>
      <c r="N84" s="88">
        <v>0</v>
      </c>
      <c r="O84" s="88">
        <f t="shared" ref="O84:O115" si="9">L84</f>
        <v>881947</v>
      </c>
      <c r="P84" s="88">
        <v>0</v>
      </c>
      <c r="Q84" s="100">
        <f t="shared" ref="Q84:Q115" si="10">L84/I84</f>
        <v>269.61786554981506</v>
      </c>
      <c r="R84" s="102">
        <v>6774</v>
      </c>
      <c r="S84" s="103">
        <v>42735</v>
      </c>
    </row>
    <row r="85" spans="1:19" customFormat="1" ht="31.5">
      <c r="A85" s="95">
        <f t="shared" si="6"/>
        <v>66</v>
      </c>
      <c r="B85" s="104" t="s">
        <v>211</v>
      </c>
      <c r="C85" s="97">
        <v>1960</v>
      </c>
      <c r="D85" s="97"/>
      <c r="E85" s="98" t="s">
        <v>143</v>
      </c>
      <c r="F85" s="99">
        <v>2</v>
      </c>
      <c r="G85" s="99">
        <v>2</v>
      </c>
      <c r="H85" s="100">
        <v>284.60000000000002</v>
      </c>
      <c r="I85" s="100">
        <v>251.8</v>
      </c>
      <c r="J85" s="100">
        <v>251.8</v>
      </c>
      <c r="K85" s="101">
        <v>18</v>
      </c>
      <c r="L85" s="88">
        <v>517739</v>
      </c>
      <c r="M85" s="88">
        <v>0</v>
      </c>
      <c r="N85" s="88">
        <v>0</v>
      </c>
      <c r="O85" s="88">
        <f t="shared" si="9"/>
        <v>517739</v>
      </c>
      <c r="P85" s="88">
        <v>0</v>
      </c>
      <c r="Q85" s="100">
        <f t="shared" si="10"/>
        <v>2056.1517077045273</v>
      </c>
      <c r="R85" s="102">
        <v>6774</v>
      </c>
      <c r="S85" s="103">
        <v>42735</v>
      </c>
    </row>
    <row r="86" spans="1:19" customFormat="1" ht="31.5">
      <c r="A86" s="95">
        <f t="shared" ref="A86:A149" si="11">A85+1</f>
        <v>67</v>
      </c>
      <c r="B86" s="96" t="s">
        <v>213</v>
      </c>
      <c r="C86" s="97">
        <v>1966</v>
      </c>
      <c r="D86" s="97"/>
      <c r="E86" s="98" t="s">
        <v>143</v>
      </c>
      <c r="F86" s="99">
        <v>5</v>
      </c>
      <c r="G86" s="99">
        <v>4</v>
      </c>
      <c r="H86" s="100">
        <v>3612</v>
      </c>
      <c r="I86" s="100">
        <v>3195.38</v>
      </c>
      <c r="J86" s="100">
        <f>I86-0</f>
        <v>3195.38</v>
      </c>
      <c r="K86" s="101">
        <v>164</v>
      </c>
      <c r="L86" s="88">
        <v>1728895</v>
      </c>
      <c r="M86" s="88">
        <v>0</v>
      </c>
      <c r="N86" s="88">
        <v>0</v>
      </c>
      <c r="O86" s="88">
        <f t="shared" si="9"/>
        <v>1728895</v>
      </c>
      <c r="P86" s="88">
        <v>0</v>
      </c>
      <c r="Q86" s="100">
        <f t="shared" si="10"/>
        <v>541.06084409366019</v>
      </c>
      <c r="R86" s="102">
        <v>6774</v>
      </c>
      <c r="S86" s="103">
        <v>42735</v>
      </c>
    </row>
    <row r="87" spans="1:19" customFormat="1" ht="15.75">
      <c r="A87" s="95">
        <f t="shared" si="11"/>
        <v>68</v>
      </c>
      <c r="B87" s="104" t="s">
        <v>184</v>
      </c>
      <c r="C87" s="105">
        <v>1925</v>
      </c>
      <c r="D87" s="105"/>
      <c r="E87" s="98" t="s">
        <v>146</v>
      </c>
      <c r="F87" s="105">
        <v>2</v>
      </c>
      <c r="G87" s="105">
        <v>2</v>
      </c>
      <c r="H87" s="100">
        <v>440.6</v>
      </c>
      <c r="I87" s="94">
        <v>395</v>
      </c>
      <c r="J87" s="94">
        <f>395-32.6</f>
        <v>362.4</v>
      </c>
      <c r="K87" s="106">
        <v>23</v>
      </c>
      <c r="L87" s="88">
        <v>682529</v>
      </c>
      <c r="M87" s="88">
        <v>0</v>
      </c>
      <c r="N87" s="88">
        <v>0</v>
      </c>
      <c r="O87" s="88">
        <f t="shared" si="9"/>
        <v>682529</v>
      </c>
      <c r="P87" s="88">
        <v>0</v>
      </c>
      <c r="Q87" s="100">
        <f t="shared" si="10"/>
        <v>1727.9215189873419</v>
      </c>
      <c r="R87" s="102">
        <v>6774</v>
      </c>
      <c r="S87" s="103">
        <v>42735</v>
      </c>
    </row>
    <row r="88" spans="1:19" customFormat="1" ht="15.75">
      <c r="A88" s="95">
        <f t="shared" si="11"/>
        <v>69</v>
      </c>
      <c r="B88" s="104" t="s">
        <v>215</v>
      </c>
      <c r="C88" s="97">
        <v>1900</v>
      </c>
      <c r="D88" s="97"/>
      <c r="E88" s="98" t="s">
        <v>146</v>
      </c>
      <c r="F88" s="99">
        <v>2</v>
      </c>
      <c r="G88" s="99">
        <v>2</v>
      </c>
      <c r="H88" s="100">
        <v>372.6</v>
      </c>
      <c r="I88" s="100">
        <v>322.60000000000002</v>
      </c>
      <c r="J88" s="100">
        <f>322.6-54.7</f>
        <v>267.90000000000003</v>
      </c>
      <c r="K88" s="101">
        <v>16</v>
      </c>
      <c r="L88" s="88">
        <v>582157</v>
      </c>
      <c r="M88" s="88">
        <v>0</v>
      </c>
      <c r="N88" s="88">
        <v>0</v>
      </c>
      <c r="O88" s="88">
        <f t="shared" si="9"/>
        <v>582157</v>
      </c>
      <c r="P88" s="88">
        <v>0</v>
      </c>
      <c r="Q88" s="100">
        <f t="shared" si="10"/>
        <v>1804.5784252944823</v>
      </c>
      <c r="R88" s="102">
        <v>6774</v>
      </c>
      <c r="S88" s="103">
        <v>42735</v>
      </c>
    </row>
    <row r="89" spans="1:19" customFormat="1" ht="31.5">
      <c r="A89" s="95">
        <f t="shared" si="11"/>
        <v>70</v>
      </c>
      <c r="B89" s="104" t="s">
        <v>150</v>
      </c>
      <c r="C89" s="105">
        <v>1934</v>
      </c>
      <c r="D89" s="105"/>
      <c r="E89" s="98" t="s">
        <v>143</v>
      </c>
      <c r="F89" s="105">
        <v>3</v>
      </c>
      <c r="G89" s="105">
        <v>5</v>
      </c>
      <c r="H89" s="100">
        <v>2793</v>
      </c>
      <c r="I89" s="94">
        <v>2624.2</v>
      </c>
      <c r="J89" s="94">
        <v>2458.3000000000002</v>
      </c>
      <c r="K89" s="106">
        <v>101</v>
      </c>
      <c r="L89" s="88">
        <v>701704</v>
      </c>
      <c r="M89" s="88">
        <v>0</v>
      </c>
      <c r="N89" s="88">
        <v>0</v>
      </c>
      <c r="O89" s="88">
        <f t="shared" si="9"/>
        <v>701704</v>
      </c>
      <c r="P89" s="88">
        <v>0</v>
      </c>
      <c r="Q89" s="100">
        <f t="shared" si="10"/>
        <v>267.39730203490592</v>
      </c>
      <c r="R89" s="102">
        <v>6774</v>
      </c>
      <c r="S89" s="103">
        <v>42735</v>
      </c>
    </row>
    <row r="90" spans="1:19" customFormat="1" ht="15.75">
      <c r="A90" s="95">
        <f t="shared" si="11"/>
        <v>71</v>
      </c>
      <c r="B90" s="104" t="s">
        <v>186</v>
      </c>
      <c r="C90" s="105">
        <v>1970</v>
      </c>
      <c r="D90" s="105"/>
      <c r="E90" s="98" t="s">
        <v>144</v>
      </c>
      <c r="F90" s="105">
        <v>5</v>
      </c>
      <c r="G90" s="105">
        <v>6</v>
      </c>
      <c r="H90" s="100">
        <v>4457.5</v>
      </c>
      <c r="I90" s="94">
        <v>4008.5</v>
      </c>
      <c r="J90" s="94">
        <v>4008.5</v>
      </c>
      <c r="K90" s="106">
        <v>181</v>
      </c>
      <c r="L90" s="88">
        <v>1969149</v>
      </c>
      <c r="M90" s="88">
        <v>0</v>
      </c>
      <c r="N90" s="88">
        <v>0</v>
      </c>
      <c r="O90" s="88">
        <f t="shared" si="9"/>
        <v>1969149</v>
      </c>
      <c r="P90" s="88">
        <v>0</v>
      </c>
      <c r="Q90" s="100">
        <f t="shared" si="10"/>
        <v>491.24335786453787</v>
      </c>
      <c r="R90" s="102">
        <v>6774</v>
      </c>
      <c r="S90" s="103">
        <v>42735</v>
      </c>
    </row>
    <row r="91" spans="1:19" customFormat="1" ht="31.5">
      <c r="A91" s="95">
        <f t="shared" si="11"/>
        <v>72</v>
      </c>
      <c r="B91" s="104" t="s">
        <v>164</v>
      </c>
      <c r="C91" s="105">
        <v>1956</v>
      </c>
      <c r="D91" s="105"/>
      <c r="E91" s="98" t="s">
        <v>143</v>
      </c>
      <c r="F91" s="105">
        <v>3</v>
      </c>
      <c r="G91" s="105">
        <v>3</v>
      </c>
      <c r="H91" s="100">
        <v>2113.6</v>
      </c>
      <c r="I91" s="94">
        <v>1827</v>
      </c>
      <c r="J91" s="94">
        <v>1827</v>
      </c>
      <c r="K91" s="106">
        <v>78</v>
      </c>
      <c r="L91" s="88">
        <v>1023088</v>
      </c>
      <c r="M91" s="88">
        <v>0</v>
      </c>
      <c r="N91" s="88">
        <v>0</v>
      </c>
      <c r="O91" s="88">
        <f t="shared" si="9"/>
        <v>1023088</v>
      </c>
      <c r="P91" s="88">
        <v>0</v>
      </c>
      <c r="Q91" s="100">
        <f t="shared" si="10"/>
        <v>559.98248494800214</v>
      </c>
      <c r="R91" s="102">
        <v>6774</v>
      </c>
      <c r="S91" s="103">
        <v>42735</v>
      </c>
    </row>
    <row r="92" spans="1:19" customFormat="1" ht="31.5">
      <c r="A92" s="95">
        <f t="shared" si="11"/>
        <v>73</v>
      </c>
      <c r="B92" s="104" t="s">
        <v>260</v>
      </c>
      <c r="C92" s="105">
        <v>1957</v>
      </c>
      <c r="D92" s="105"/>
      <c r="E92" s="98" t="s">
        <v>143</v>
      </c>
      <c r="F92" s="105">
        <v>3</v>
      </c>
      <c r="G92" s="105">
        <v>3</v>
      </c>
      <c r="H92" s="100">
        <v>1986</v>
      </c>
      <c r="I92" s="94">
        <v>1850.2</v>
      </c>
      <c r="J92" s="94">
        <f>1850.2-202.74</f>
        <v>1647.46</v>
      </c>
      <c r="K92" s="106">
        <v>65</v>
      </c>
      <c r="L92" s="88">
        <v>3334570</v>
      </c>
      <c r="M92" s="88">
        <v>0</v>
      </c>
      <c r="N92" s="88">
        <v>0</v>
      </c>
      <c r="O92" s="88">
        <f t="shared" si="9"/>
        <v>3334570</v>
      </c>
      <c r="P92" s="88">
        <v>0</v>
      </c>
      <c r="Q92" s="100">
        <f t="shared" si="10"/>
        <v>1802.2754296832775</v>
      </c>
      <c r="R92" s="102">
        <v>6774</v>
      </c>
      <c r="S92" s="103">
        <v>42735</v>
      </c>
    </row>
    <row r="93" spans="1:19" customFormat="1" ht="31.5">
      <c r="A93" s="95">
        <f t="shared" si="11"/>
        <v>74</v>
      </c>
      <c r="B93" s="104" t="s">
        <v>230</v>
      </c>
      <c r="C93" s="97">
        <v>1970</v>
      </c>
      <c r="D93" s="97"/>
      <c r="E93" s="98" t="s">
        <v>143</v>
      </c>
      <c r="F93" s="99">
        <v>5</v>
      </c>
      <c r="G93" s="99">
        <v>2</v>
      </c>
      <c r="H93" s="100">
        <v>1913.8</v>
      </c>
      <c r="I93" s="100">
        <f>1589+176.8</f>
        <v>1765.8</v>
      </c>
      <c r="J93" s="100">
        <f>1589-110.5</f>
        <v>1478.5</v>
      </c>
      <c r="K93" s="101">
        <v>75</v>
      </c>
      <c r="L93" s="88">
        <v>1127374.33</v>
      </c>
      <c r="M93" s="88">
        <v>0</v>
      </c>
      <c r="N93" s="88">
        <v>0</v>
      </c>
      <c r="O93" s="88">
        <f t="shared" si="9"/>
        <v>1127374.33</v>
      </c>
      <c r="P93" s="88">
        <v>0</v>
      </c>
      <c r="Q93" s="100">
        <f t="shared" si="10"/>
        <v>638.44961490542539</v>
      </c>
      <c r="R93" s="102">
        <v>6774</v>
      </c>
      <c r="S93" s="103">
        <v>42735</v>
      </c>
    </row>
    <row r="94" spans="1:19" customFormat="1" ht="15.75">
      <c r="A94" s="95">
        <f t="shared" si="11"/>
        <v>75</v>
      </c>
      <c r="B94" s="96" t="s">
        <v>159</v>
      </c>
      <c r="C94" s="105">
        <v>1968</v>
      </c>
      <c r="D94" s="105"/>
      <c r="E94" s="98" t="s">
        <v>144</v>
      </c>
      <c r="F94" s="105">
        <v>5</v>
      </c>
      <c r="G94" s="105">
        <v>6</v>
      </c>
      <c r="H94" s="100">
        <v>4771</v>
      </c>
      <c r="I94" s="94">
        <v>4328.8999999999996</v>
      </c>
      <c r="J94" s="94">
        <f>I94-199.1</f>
        <v>4129.7999999999993</v>
      </c>
      <c r="K94" s="106">
        <v>208</v>
      </c>
      <c r="L94" s="88">
        <v>1161456</v>
      </c>
      <c r="M94" s="88">
        <v>0</v>
      </c>
      <c r="N94" s="88">
        <v>0</v>
      </c>
      <c r="O94" s="88">
        <f t="shared" si="9"/>
        <v>1161456</v>
      </c>
      <c r="P94" s="88">
        <v>0</v>
      </c>
      <c r="Q94" s="100">
        <f t="shared" si="10"/>
        <v>268.30280209753056</v>
      </c>
      <c r="R94" s="102">
        <v>6774</v>
      </c>
      <c r="S94" s="103">
        <v>42735</v>
      </c>
    </row>
    <row r="95" spans="1:19" customFormat="1" ht="31.5">
      <c r="A95" s="95">
        <f t="shared" si="11"/>
        <v>76</v>
      </c>
      <c r="B95" s="96" t="s">
        <v>201</v>
      </c>
      <c r="C95" s="95">
        <v>1971</v>
      </c>
      <c r="D95" s="97"/>
      <c r="E95" s="98" t="s">
        <v>143</v>
      </c>
      <c r="F95" s="97">
        <v>5</v>
      </c>
      <c r="G95" s="97">
        <v>4</v>
      </c>
      <c r="H95" s="100">
        <f>3133.4+285.6</f>
        <v>3419</v>
      </c>
      <c r="I95" s="89">
        <v>3133.4</v>
      </c>
      <c r="J95" s="89">
        <f>2845.3-162.1</f>
        <v>2683.2000000000003</v>
      </c>
      <c r="K95" s="87">
        <v>183</v>
      </c>
      <c r="L95" s="88">
        <v>1197250.23</v>
      </c>
      <c r="M95" s="88">
        <v>0</v>
      </c>
      <c r="N95" s="88">
        <v>0</v>
      </c>
      <c r="O95" s="88">
        <f t="shared" si="9"/>
        <v>1197250.23</v>
      </c>
      <c r="P95" s="88">
        <v>0</v>
      </c>
      <c r="Q95" s="100">
        <f t="shared" si="10"/>
        <v>382.09300759558306</v>
      </c>
      <c r="R95" s="102">
        <v>6774</v>
      </c>
      <c r="S95" s="103">
        <v>42735</v>
      </c>
    </row>
    <row r="96" spans="1:19" customFormat="1" ht="31.5">
      <c r="A96" s="95">
        <f t="shared" si="11"/>
        <v>77</v>
      </c>
      <c r="B96" s="104" t="s">
        <v>227</v>
      </c>
      <c r="C96" s="97">
        <v>1954</v>
      </c>
      <c r="D96" s="97"/>
      <c r="E96" s="98" t="s">
        <v>143</v>
      </c>
      <c r="F96" s="99">
        <v>4</v>
      </c>
      <c r="G96" s="99">
        <v>3</v>
      </c>
      <c r="H96" s="100">
        <v>3282.8</v>
      </c>
      <c r="I96" s="100">
        <f>2453.9+555.4</f>
        <v>3009.3</v>
      </c>
      <c r="J96" s="100">
        <v>2325.1</v>
      </c>
      <c r="K96" s="101">
        <v>75</v>
      </c>
      <c r="L96" s="88">
        <v>2784233</v>
      </c>
      <c r="M96" s="88">
        <v>0</v>
      </c>
      <c r="N96" s="88">
        <v>0</v>
      </c>
      <c r="O96" s="88">
        <f t="shared" si="9"/>
        <v>2784233</v>
      </c>
      <c r="P96" s="88">
        <v>0</v>
      </c>
      <c r="Q96" s="100">
        <f t="shared" si="10"/>
        <v>925.20951716345985</v>
      </c>
      <c r="R96" s="102">
        <v>6774</v>
      </c>
      <c r="S96" s="103">
        <v>42735</v>
      </c>
    </row>
    <row r="97" spans="1:19" customFormat="1" ht="31.5">
      <c r="A97" s="95">
        <f t="shared" si="11"/>
        <v>78</v>
      </c>
      <c r="B97" s="104" t="s">
        <v>217</v>
      </c>
      <c r="C97" s="97">
        <v>1968</v>
      </c>
      <c r="D97" s="97"/>
      <c r="E97" s="98" t="s">
        <v>143</v>
      </c>
      <c r="F97" s="99">
        <v>5</v>
      </c>
      <c r="G97" s="99">
        <v>4</v>
      </c>
      <c r="H97" s="100">
        <v>3111.5</v>
      </c>
      <c r="I97" s="100">
        <v>2841.4</v>
      </c>
      <c r="J97" s="100">
        <f>2812.5-138.2</f>
        <v>2674.3</v>
      </c>
      <c r="K97" s="101">
        <v>124</v>
      </c>
      <c r="L97" s="88">
        <v>2369961</v>
      </c>
      <c r="M97" s="88">
        <v>0</v>
      </c>
      <c r="N97" s="88">
        <v>0</v>
      </c>
      <c r="O97" s="88">
        <f t="shared" si="9"/>
        <v>2369961</v>
      </c>
      <c r="P97" s="88">
        <v>0</v>
      </c>
      <c r="Q97" s="100">
        <f t="shared" si="10"/>
        <v>834.08214260575767</v>
      </c>
      <c r="R97" s="102">
        <v>6774</v>
      </c>
      <c r="S97" s="103">
        <v>42735</v>
      </c>
    </row>
    <row r="98" spans="1:19" customFormat="1" ht="31.5">
      <c r="A98" s="95">
        <f t="shared" si="11"/>
        <v>79</v>
      </c>
      <c r="B98" s="96" t="s">
        <v>599</v>
      </c>
      <c r="C98" s="95">
        <v>1959</v>
      </c>
      <c r="D98" s="97"/>
      <c r="E98" s="98" t="s">
        <v>143</v>
      </c>
      <c r="F98" s="97">
        <v>2</v>
      </c>
      <c r="G98" s="97">
        <v>1</v>
      </c>
      <c r="H98" s="100">
        <f>331.4+25.3</f>
        <v>356.7</v>
      </c>
      <c r="I98" s="89">
        <v>331.4</v>
      </c>
      <c r="J98" s="89">
        <f>I98-117.1</f>
        <v>214.29999999999998</v>
      </c>
      <c r="K98" s="87">
        <v>26</v>
      </c>
      <c r="L98" s="88">
        <v>672819</v>
      </c>
      <c r="M98" s="88">
        <v>0</v>
      </c>
      <c r="N98" s="88">
        <v>0</v>
      </c>
      <c r="O98" s="88">
        <f t="shared" si="9"/>
        <v>672819</v>
      </c>
      <c r="P98" s="88">
        <v>0</v>
      </c>
      <c r="Q98" s="100">
        <f t="shared" si="10"/>
        <v>2030.2323476161739</v>
      </c>
      <c r="R98" s="102">
        <v>6774</v>
      </c>
      <c r="S98" s="103">
        <v>42735</v>
      </c>
    </row>
    <row r="99" spans="1:19" customFormat="1" ht="15.75">
      <c r="A99" s="95">
        <f t="shared" si="11"/>
        <v>80</v>
      </c>
      <c r="B99" s="104" t="s">
        <v>264</v>
      </c>
      <c r="C99" s="95">
        <v>1968</v>
      </c>
      <c r="D99" s="97"/>
      <c r="E99" s="98" t="s">
        <v>144</v>
      </c>
      <c r="F99" s="97">
        <v>5</v>
      </c>
      <c r="G99" s="97">
        <v>5</v>
      </c>
      <c r="H99" s="100">
        <v>3422.8</v>
      </c>
      <c r="I99" s="89">
        <v>3087.4</v>
      </c>
      <c r="J99" s="89">
        <f>3087.4-178.8</f>
        <v>2908.6</v>
      </c>
      <c r="K99" s="87">
        <v>178</v>
      </c>
      <c r="L99" s="88">
        <v>1651491</v>
      </c>
      <c r="M99" s="88">
        <v>0</v>
      </c>
      <c r="N99" s="88">
        <v>0</v>
      </c>
      <c r="O99" s="88">
        <f t="shared" si="9"/>
        <v>1651491</v>
      </c>
      <c r="P99" s="88">
        <v>0</v>
      </c>
      <c r="Q99" s="100">
        <f t="shared" si="10"/>
        <v>534.91319556908729</v>
      </c>
      <c r="R99" s="102">
        <v>6774</v>
      </c>
      <c r="S99" s="103">
        <v>42735</v>
      </c>
    </row>
    <row r="100" spans="1:19" customFormat="1" ht="31.5">
      <c r="A100" s="95">
        <f t="shared" si="11"/>
        <v>81</v>
      </c>
      <c r="B100" s="96" t="s">
        <v>179</v>
      </c>
      <c r="C100" s="105">
        <v>1962</v>
      </c>
      <c r="D100" s="105"/>
      <c r="E100" s="98" t="s">
        <v>143</v>
      </c>
      <c r="F100" s="105">
        <v>3</v>
      </c>
      <c r="G100" s="105">
        <v>3</v>
      </c>
      <c r="H100" s="100">
        <v>1626.5</v>
      </c>
      <c r="I100" s="94">
        <v>1516.6</v>
      </c>
      <c r="J100" s="94">
        <f>1399.2-117.4</f>
        <v>1281.8</v>
      </c>
      <c r="K100" s="106">
        <v>70</v>
      </c>
      <c r="L100" s="88">
        <v>1432926</v>
      </c>
      <c r="M100" s="88">
        <v>0</v>
      </c>
      <c r="N100" s="88">
        <v>0</v>
      </c>
      <c r="O100" s="88">
        <f t="shared" si="9"/>
        <v>1432926</v>
      </c>
      <c r="P100" s="88">
        <v>0</v>
      </c>
      <c r="Q100" s="100">
        <f t="shared" si="10"/>
        <v>944.82790452327583</v>
      </c>
      <c r="R100" s="102">
        <v>6774</v>
      </c>
      <c r="S100" s="103">
        <v>42735</v>
      </c>
    </row>
    <row r="101" spans="1:19" customFormat="1" ht="31.5">
      <c r="A101" s="95">
        <f t="shared" si="11"/>
        <v>82</v>
      </c>
      <c r="B101" s="96" t="s">
        <v>267</v>
      </c>
      <c r="C101" s="95">
        <v>1955</v>
      </c>
      <c r="D101" s="97"/>
      <c r="E101" s="98" t="s">
        <v>143</v>
      </c>
      <c r="F101" s="97">
        <v>2</v>
      </c>
      <c r="G101" s="97">
        <v>2</v>
      </c>
      <c r="H101" s="100">
        <f>894.5+87.2</f>
        <v>981.7</v>
      </c>
      <c r="I101" s="89">
        <v>894.5</v>
      </c>
      <c r="J101" s="89">
        <f>I101-50.2</f>
        <v>844.3</v>
      </c>
      <c r="K101" s="87">
        <v>37</v>
      </c>
      <c r="L101" s="88">
        <v>1137886</v>
      </c>
      <c r="M101" s="88">
        <v>0</v>
      </c>
      <c r="N101" s="88">
        <v>0</v>
      </c>
      <c r="O101" s="88">
        <f t="shared" si="9"/>
        <v>1137886</v>
      </c>
      <c r="P101" s="88">
        <v>0</v>
      </c>
      <c r="Q101" s="100">
        <f t="shared" si="10"/>
        <v>1272.0916713247625</v>
      </c>
      <c r="R101" s="102">
        <v>6774</v>
      </c>
      <c r="S101" s="103">
        <v>42735</v>
      </c>
    </row>
    <row r="102" spans="1:19" customFormat="1" ht="31.5">
      <c r="A102" s="95">
        <f t="shared" si="11"/>
        <v>83</v>
      </c>
      <c r="B102" s="104" t="s">
        <v>229</v>
      </c>
      <c r="C102" s="97">
        <v>1971</v>
      </c>
      <c r="D102" s="97"/>
      <c r="E102" s="98" t="s">
        <v>143</v>
      </c>
      <c r="F102" s="99">
        <v>5</v>
      </c>
      <c r="G102" s="99">
        <v>4</v>
      </c>
      <c r="H102" s="100">
        <v>3646.9</v>
      </c>
      <c r="I102" s="100">
        <v>3378.4</v>
      </c>
      <c r="J102" s="100">
        <f>3039.1-194.9</f>
        <v>2844.2</v>
      </c>
      <c r="K102" s="101">
        <v>147</v>
      </c>
      <c r="L102" s="88">
        <v>1814838</v>
      </c>
      <c r="M102" s="88">
        <v>0</v>
      </c>
      <c r="N102" s="88">
        <v>0</v>
      </c>
      <c r="O102" s="88">
        <f t="shared" si="9"/>
        <v>1814838</v>
      </c>
      <c r="P102" s="88">
        <v>0</v>
      </c>
      <c r="Q102" s="100">
        <f t="shared" si="10"/>
        <v>537.18860999289598</v>
      </c>
      <c r="R102" s="102">
        <v>6774</v>
      </c>
      <c r="S102" s="103">
        <v>42735</v>
      </c>
    </row>
    <row r="103" spans="1:19" customFormat="1" ht="31.5">
      <c r="A103" s="95">
        <f t="shared" si="11"/>
        <v>84</v>
      </c>
      <c r="B103" s="104" t="s">
        <v>269</v>
      </c>
      <c r="C103" s="97">
        <v>1970</v>
      </c>
      <c r="D103" s="97"/>
      <c r="E103" s="98" t="s">
        <v>143</v>
      </c>
      <c r="F103" s="99">
        <v>5</v>
      </c>
      <c r="G103" s="99">
        <v>4</v>
      </c>
      <c r="H103" s="100">
        <v>3447.2</v>
      </c>
      <c r="I103" s="100">
        <v>3282</v>
      </c>
      <c r="J103" s="100">
        <f>3044.4-197.3</f>
        <v>2847.1</v>
      </c>
      <c r="K103" s="101">
        <v>110</v>
      </c>
      <c r="L103" s="88">
        <v>1544359.54</v>
      </c>
      <c r="M103" s="88">
        <v>0</v>
      </c>
      <c r="N103" s="88">
        <v>0</v>
      </c>
      <c r="O103" s="88">
        <f t="shared" si="9"/>
        <v>1544359.54</v>
      </c>
      <c r="P103" s="88">
        <v>0</v>
      </c>
      <c r="Q103" s="100">
        <f t="shared" si="10"/>
        <v>470.5543997562462</v>
      </c>
      <c r="R103" s="102">
        <v>6774</v>
      </c>
      <c r="S103" s="103">
        <v>42735</v>
      </c>
    </row>
    <row r="104" spans="1:19" customFormat="1" ht="31.5">
      <c r="A104" s="95">
        <f t="shared" si="11"/>
        <v>85</v>
      </c>
      <c r="B104" s="96" t="s">
        <v>570</v>
      </c>
      <c r="C104" s="97">
        <v>1987</v>
      </c>
      <c r="D104" s="97"/>
      <c r="E104" s="98" t="s">
        <v>144</v>
      </c>
      <c r="F104" s="99">
        <v>9</v>
      </c>
      <c r="G104" s="99">
        <v>1</v>
      </c>
      <c r="H104" s="100">
        <v>3986.8</v>
      </c>
      <c r="I104" s="100">
        <v>3807.9</v>
      </c>
      <c r="J104" s="100">
        <v>3754.2</v>
      </c>
      <c r="K104" s="101">
        <v>152</v>
      </c>
      <c r="L104" s="88">
        <v>1787034</v>
      </c>
      <c r="M104" s="88">
        <v>0</v>
      </c>
      <c r="N104" s="88">
        <v>0</v>
      </c>
      <c r="O104" s="88">
        <f t="shared" si="9"/>
        <v>1787034</v>
      </c>
      <c r="P104" s="88">
        <v>0</v>
      </c>
      <c r="Q104" s="100">
        <f t="shared" si="10"/>
        <v>469.29646261719057</v>
      </c>
      <c r="R104" s="102">
        <v>6774</v>
      </c>
      <c r="S104" s="103">
        <v>42735</v>
      </c>
    </row>
    <row r="105" spans="1:19" customFormat="1" ht="31.5">
      <c r="A105" s="95">
        <f t="shared" si="11"/>
        <v>86</v>
      </c>
      <c r="B105" s="96" t="s">
        <v>149</v>
      </c>
      <c r="C105" s="105">
        <v>1983</v>
      </c>
      <c r="D105" s="105"/>
      <c r="E105" s="98" t="s">
        <v>144</v>
      </c>
      <c r="F105" s="105">
        <v>9</v>
      </c>
      <c r="G105" s="105">
        <v>4</v>
      </c>
      <c r="H105" s="100">
        <v>7703.3</v>
      </c>
      <c r="I105" s="94">
        <v>7655.4</v>
      </c>
      <c r="J105" s="94">
        <v>7655.4</v>
      </c>
      <c r="K105" s="106">
        <v>306</v>
      </c>
      <c r="L105" s="88">
        <v>437998.57</v>
      </c>
      <c r="M105" s="88">
        <v>0</v>
      </c>
      <c r="N105" s="88">
        <v>0</v>
      </c>
      <c r="O105" s="88">
        <f t="shared" si="9"/>
        <v>437998.57</v>
      </c>
      <c r="P105" s="88">
        <v>0</v>
      </c>
      <c r="Q105" s="100">
        <f t="shared" si="10"/>
        <v>57.214328447892996</v>
      </c>
      <c r="R105" s="102">
        <v>6774</v>
      </c>
      <c r="S105" s="103">
        <v>42735</v>
      </c>
    </row>
    <row r="106" spans="1:19" customFormat="1" ht="31.5">
      <c r="A106" s="95">
        <f t="shared" si="11"/>
        <v>87</v>
      </c>
      <c r="B106" s="96" t="s">
        <v>569</v>
      </c>
      <c r="C106" s="97">
        <v>1976</v>
      </c>
      <c r="D106" s="97"/>
      <c r="E106" s="98" t="s">
        <v>144</v>
      </c>
      <c r="F106" s="99">
        <v>5</v>
      </c>
      <c r="G106" s="99">
        <v>4</v>
      </c>
      <c r="H106" s="100">
        <v>2095.3000000000002</v>
      </c>
      <c r="I106" s="100">
        <v>2070.5</v>
      </c>
      <c r="J106" s="100">
        <f>2066.7-42.1</f>
        <v>2024.6</v>
      </c>
      <c r="K106" s="101">
        <v>109</v>
      </c>
      <c r="L106" s="88">
        <v>1116228</v>
      </c>
      <c r="M106" s="88">
        <v>0</v>
      </c>
      <c r="N106" s="88">
        <v>0</v>
      </c>
      <c r="O106" s="88">
        <f t="shared" si="9"/>
        <v>1116228</v>
      </c>
      <c r="P106" s="88">
        <v>0</v>
      </c>
      <c r="Q106" s="100">
        <f t="shared" si="10"/>
        <v>539.11035981646944</v>
      </c>
      <c r="R106" s="102">
        <v>6774</v>
      </c>
      <c r="S106" s="103">
        <v>42735</v>
      </c>
    </row>
    <row r="107" spans="1:19" customFormat="1" ht="31.5">
      <c r="A107" s="95">
        <f t="shared" si="11"/>
        <v>88</v>
      </c>
      <c r="B107" s="96" t="s">
        <v>571</v>
      </c>
      <c r="C107" s="97">
        <v>1983</v>
      </c>
      <c r="D107" s="97"/>
      <c r="E107" s="98" t="s">
        <v>144</v>
      </c>
      <c r="F107" s="99">
        <v>5</v>
      </c>
      <c r="G107" s="99">
        <v>3</v>
      </c>
      <c r="H107" s="100">
        <v>2462</v>
      </c>
      <c r="I107" s="100">
        <v>2259.6999999999998</v>
      </c>
      <c r="J107" s="100">
        <v>2259.6999999999998</v>
      </c>
      <c r="K107" s="101">
        <v>76</v>
      </c>
      <c r="L107" s="88">
        <v>1313728</v>
      </c>
      <c r="M107" s="88">
        <v>0</v>
      </c>
      <c r="N107" s="88">
        <v>0</v>
      </c>
      <c r="O107" s="88">
        <f t="shared" si="9"/>
        <v>1313728</v>
      </c>
      <c r="P107" s="88">
        <v>0</v>
      </c>
      <c r="Q107" s="100">
        <f t="shared" si="10"/>
        <v>581.3727485949463</v>
      </c>
      <c r="R107" s="102">
        <v>6774</v>
      </c>
      <c r="S107" s="103">
        <v>42735</v>
      </c>
    </row>
    <row r="108" spans="1:19" customFormat="1" ht="31.5">
      <c r="A108" s="95">
        <f t="shared" si="11"/>
        <v>89</v>
      </c>
      <c r="B108" s="104" t="s">
        <v>166</v>
      </c>
      <c r="C108" s="105">
        <v>1958</v>
      </c>
      <c r="D108" s="105"/>
      <c r="E108" s="98" t="s">
        <v>143</v>
      </c>
      <c r="F108" s="105">
        <v>2</v>
      </c>
      <c r="G108" s="105">
        <v>1</v>
      </c>
      <c r="H108" s="100">
        <v>454.6</v>
      </c>
      <c r="I108" s="94">
        <v>415.4</v>
      </c>
      <c r="J108" s="94">
        <f>415.4-49.1</f>
        <v>366.29999999999995</v>
      </c>
      <c r="K108" s="106">
        <v>17</v>
      </c>
      <c r="L108" s="88">
        <v>359651</v>
      </c>
      <c r="M108" s="88">
        <v>0</v>
      </c>
      <c r="N108" s="88">
        <v>0</v>
      </c>
      <c r="O108" s="88">
        <f t="shared" si="9"/>
        <v>359651</v>
      </c>
      <c r="P108" s="88">
        <v>0</v>
      </c>
      <c r="Q108" s="100">
        <f t="shared" si="10"/>
        <v>865.79441502166594</v>
      </c>
      <c r="R108" s="102">
        <v>6774</v>
      </c>
      <c r="S108" s="103">
        <v>42735</v>
      </c>
    </row>
    <row r="109" spans="1:19" customFormat="1" ht="15.75">
      <c r="A109" s="95">
        <f t="shared" si="11"/>
        <v>90</v>
      </c>
      <c r="B109" s="104" t="s">
        <v>158</v>
      </c>
      <c r="C109" s="105">
        <v>1965</v>
      </c>
      <c r="D109" s="105"/>
      <c r="E109" s="98" t="s">
        <v>144</v>
      </c>
      <c r="F109" s="105">
        <v>5</v>
      </c>
      <c r="G109" s="105">
        <v>5</v>
      </c>
      <c r="H109" s="100">
        <v>3724.2</v>
      </c>
      <c r="I109" s="94">
        <v>3383.6</v>
      </c>
      <c r="J109" s="94">
        <f>3383.6-209.4</f>
        <v>3174.2</v>
      </c>
      <c r="K109" s="106">
        <v>199</v>
      </c>
      <c r="L109" s="88">
        <v>906779</v>
      </c>
      <c r="M109" s="88">
        <v>0</v>
      </c>
      <c r="N109" s="88">
        <v>0</v>
      </c>
      <c r="O109" s="88">
        <f t="shared" si="9"/>
        <v>906779</v>
      </c>
      <c r="P109" s="88">
        <v>0</v>
      </c>
      <c r="Q109" s="100">
        <f t="shared" si="10"/>
        <v>267.99237498522285</v>
      </c>
      <c r="R109" s="102">
        <v>6774</v>
      </c>
      <c r="S109" s="103">
        <v>42735</v>
      </c>
    </row>
    <row r="110" spans="1:19" customFormat="1" ht="31.5">
      <c r="A110" s="95">
        <f t="shared" si="11"/>
        <v>91</v>
      </c>
      <c r="B110" s="104" t="s">
        <v>202</v>
      </c>
      <c r="C110" s="95">
        <v>1958</v>
      </c>
      <c r="D110" s="97"/>
      <c r="E110" s="98" t="s">
        <v>143</v>
      </c>
      <c r="F110" s="97">
        <v>2</v>
      </c>
      <c r="G110" s="97">
        <v>1</v>
      </c>
      <c r="H110" s="100">
        <v>447.8</v>
      </c>
      <c r="I110" s="89">
        <v>407.4</v>
      </c>
      <c r="J110" s="89">
        <v>407.4</v>
      </c>
      <c r="K110" s="87">
        <v>21</v>
      </c>
      <c r="L110" s="88">
        <v>886559</v>
      </c>
      <c r="M110" s="88">
        <v>0</v>
      </c>
      <c r="N110" s="88">
        <v>0</v>
      </c>
      <c r="O110" s="88">
        <f t="shared" si="9"/>
        <v>886559</v>
      </c>
      <c r="P110" s="88">
        <v>0</v>
      </c>
      <c r="Q110" s="100">
        <f t="shared" si="10"/>
        <v>2176.1389297987239</v>
      </c>
      <c r="R110" s="102">
        <v>6774</v>
      </c>
      <c r="S110" s="103">
        <v>42735</v>
      </c>
    </row>
    <row r="111" spans="1:19" customFormat="1" ht="31.5">
      <c r="A111" s="95">
        <f t="shared" si="11"/>
        <v>92</v>
      </c>
      <c r="B111" s="104" t="s">
        <v>271</v>
      </c>
      <c r="C111" s="97">
        <v>1959</v>
      </c>
      <c r="D111" s="97"/>
      <c r="E111" s="98" t="s">
        <v>143</v>
      </c>
      <c r="F111" s="99">
        <v>2</v>
      </c>
      <c r="G111" s="99">
        <v>1</v>
      </c>
      <c r="H111" s="100">
        <v>444.7</v>
      </c>
      <c r="I111" s="100">
        <v>402.3</v>
      </c>
      <c r="J111" s="100">
        <f>402.3-47.7</f>
        <v>354.6</v>
      </c>
      <c r="K111" s="101">
        <v>17</v>
      </c>
      <c r="L111" s="88">
        <v>642210</v>
      </c>
      <c r="M111" s="88">
        <v>0</v>
      </c>
      <c r="N111" s="88">
        <v>0</v>
      </c>
      <c r="O111" s="88">
        <f t="shared" si="9"/>
        <v>642210</v>
      </c>
      <c r="P111" s="88">
        <v>0</v>
      </c>
      <c r="Q111" s="100">
        <f t="shared" si="10"/>
        <v>1596.3460104399701</v>
      </c>
      <c r="R111" s="102">
        <v>6774</v>
      </c>
      <c r="S111" s="103">
        <v>42735</v>
      </c>
    </row>
    <row r="112" spans="1:19" customFormat="1" ht="31.5">
      <c r="A112" s="95">
        <f t="shared" si="11"/>
        <v>93</v>
      </c>
      <c r="B112" s="96" t="s">
        <v>191</v>
      </c>
      <c r="C112" s="105">
        <v>1957</v>
      </c>
      <c r="D112" s="105"/>
      <c r="E112" s="98" t="s">
        <v>143</v>
      </c>
      <c r="F112" s="105">
        <v>4</v>
      </c>
      <c r="G112" s="105">
        <v>3</v>
      </c>
      <c r="H112" s="100">
        <v>2374.1</v>
      </c>
      <c r="I112" s="94">
        <v>2160.8000000000002</v>
      </c>
      <c r="J112" s="94">
        <f>2160.8-109.5</f>
        <v>2051.3000000000002</v>
      </c>
      <c r="K112" s="106">
        <v>77</v>
      </c>
      <c r="L112" s="88">
        <v>1952489</v>
      </c>
      <c r="M112" s="88">
        <v>0</v>
      </c>
      <c r="N112" s="88">
        <v>0</v>
      </c>
      <c r="O112" s="88">
        <f t="shared" si="9"/>
        <v>1952489</v>
      </c>
      <c r="P112" s="88">
        <v>0</v>
      </c>
      <c r="Q112" s="100">
        <f t="shared" si="10"/>
        <v>903.5954276194002</v>
      </c>
      <c r="R112" s="102">
        <v>6774</v>
      </c>
      <c r="S112" s="103">
        <v>42735</v>
      </c>
    </row>
    <row r="113" spans="1:19" customFormat="1" ht="15.75">
      <c r="A113" s="95">
        <f t="shared" si="11"/>
        <v>94</v>
      </c>
      <c r="B113" s="96" t="s">
        <v>234</v>
      </c>
      <c r="C113" s="97">
        <v>1983</v>
      </c>
      <c r="D113" s="97"/>
      <c r="E113" s="98" t="s">
        <v>144</v>
      </c>
      <c r="F113" s="99">
        <v>9</v>
      </c>
      <c r="G113" s="99">
        <v>8</v>
      </c>
      <c r="H113" s="100">
        <v>17869.5</v>
      </c>
      <c r="I113" s="100">
        <v>16141.5</v>
      </c>
      <c r="J113" s="100">
        <f>16141.5-620</f>
        <v>15521.5</v>
      </c>
      <c r="K113" s="101">
        <v>658</v>
      </c>
      <c r="L113" s="88">
        <v>15157748</v>
      </c>
      <c r="M113" s="88">
        <v>0</v>
      </c>
      <c r="N113" s="88">
        <v>0</v>
      </c>
      <c r="O113" s="88">
        <f t="shared" si="9"/>
        <v>15157748</v>
      </c>
      <c r="P113" s="88">
        <v>0</v>
      </c>
      <c r="Q113" s="100">
        <f t="shared" si="10"/>
        <v>939.05448688164051</v>
      </c>
      <c r="R113" s="102">
        <v>6774</v>
      </c>
      <c r="S113" s="103">
        <v>42735</v>
      </c>
    </row>
    <row r="114" spans="1:19" customFormat="1" ht="31.5">
      <c r="A114" s="95">
        <f t="shared" si="11"/>
        <v>95</v>
      </c>
      <c r="B114" s="104" t="s">
        <v>205</v>
      </c>
      <c r="C114" s="95">
        <v>1959</v>
      </c>
      <c r="D114" s="97"/>
      <c r="E114" s="98" t="s">
        <v>143</v>
      </c>
      <c r="F114" s="97">
        <v>4</v>
      </c>
      <c r="G114" s="97">
        <v>5</v>
      </c>
      <c r="H114" s="100">
        <f>3080.34+403.4</f>
        <v>3483.7400000000002</v>
      </c>
      <c r="I114" s="89">
        <f>2604.64+475.7</f>
        <v>3080.3399999999997</v>
      </c>
      <c r="J114" s="89">
        <f>2604.64-130.46</f>
        <v>2474.1799999999998</v>
      </c>
      <c r="K114" s="87">
        <v>89</v>
      </c>
      <c r="L114" s="88">
        <v>2542298.37</v>
      </c>
      <c r="M114" s="88">
        <v>0</v>
      </c>
      <c r="N114" s="88">
        <v>0</v>
      </c>
      <c r="O114" s="88">
        <f t="shared" si="9"/>
        <v>2542298.37</v>
      </c>
      <c r="P114" s="88">
        <v>0</v>
      </c>
      <c r="Q114" s="100">
        <f t="shared" si="10"/>
        <v>825.33044079549677</v>
      </c>
      <c r="R114" s="102">
        <v>6774</v>
      </c>
      <c r="S114" s="103">
        <v>42735</v>
      </c>
    </row>
    <row r="115" spans="1:19" customFormat="1" ht="15.75">
      <c r="A115" s="95">
        <f t="shared" si="11"/>
        <v>96</v>
      </c>
      <c r="B115" s="96" t="s">
        <v>173</v>
      </c>
      <c r="C115" s="105">
        <v>1983</v>
      </c>
      <c r="D115" s="105"/>
      <c r="E115" s="98" t="s">
        <v>144</v>
      </c>
      <c r="F115" s="105">
        <v>9</v>
      </c>
      <c r="G115" s="105">
        <v>1</v>
      </c>
      <c r="H115" s="100">
        <v>4115.3999999999996</v>
      </c>
      <c r="I115" s="94">
        <v>3890.8</v>
      </c>
      <c r="J115" s="94">
        <v>3890.8</v>
      </c>
      <c r="K115" s="106">
        <v>173</v>
      </c>
      <c r="L115" s="88">
        <v>1114586</v>
      </c>
      <c r="M115" s="88">
        <v>0</v>
      </c>
      <c r="N115" s="88">
        <v>0</v>
      </c>
      <c r="O115" s="88">
        <f t="shared" si="9"/>
        <v>1114586</v>
      </c>
      <c r="P115" s="88">
        <v>0</v>
      </c>
      <c r="Q115" s="100">
        <f t="shared" si="10"/>
        <v>286.46705047805079</v>
      </c>
      <c r="R115" s="102">
        <v>6774</v>
      </c>
      <c r="S115" s="103">
        <v>42735</v>
      </c>
    </row>
    <row r="116" spans="1:19" customFormat="1" ht="15.75">
      <c r="A116" s="95">
        <f t="shared" si="11"/>
        <v>97</v>
      </c>
      <c r="B116" s="96" t="s">
        <v>225</v>
      </c>
      <c r="C116" s="97">
        <v>1975</v>
      </c>
      <c r="D116" s="97"/>
      <c r="E116" s="98" t="s">
        <v>144</v>
      </c>
      <c r="F116" s="99">
        <v>9</v>
      </c>
      <c r="G116" s="99">
        <v>3</v>
      </c>
      <c r="H116" s="100">
        <v>6526.3</v>
      </c>
      <c r="I116" s="100">
        <v>5733.9</v>
      </c>
      <c r="J116" s="100">
        <f>5733.9-316.7</f>
        <v>5417.2</v>
      </c>
      <c r="K116" s="101">
        <v>243</v>
      </c>
      <c r="L116" s="88">
        <v>5623853</v>
      </c>
      <c r="M116" s="88">
        <v>0</v>
      </c>
      <c r="N116" s="88">
        <v>0</v>
      </c>
      <c r="O116" s="88">
        <f t="shared" ref="O116:O147" si="12">L116</f>
        <v>5623853</v>
      </c>
      <c r="P116" s="88">
        <v>0</v>
      </c>
      <c r="Q116" s="100">
        <f t="shared" ref="Q116:Q147" si="13">L116/I116</f>
        <v>980.80765273199745</v>
      </c>
      <c r="R116" s="102">
        <v>6774</v>
      </c>
      <c r="S116" s="103">
        <v>42735</v>
      </c>
    </row>
    <row r="117" spans="1:19" customFormat="1" ht="15.75">
      <c r="A117" s="95">
        <f t="shared" si="11"/>
        <v>98</v>
      </c>
      <c r="B117" s="96" t="s">
        <v>169</v>
      </c>
      <c r="C117" s="105">
        <v>1976</v>
      </c>
      <c r="D117" s="105"/>
      <c r="E117" s="98" t="s">
        <v>144</v>
      </c>
      <c r="F117" s="105">
        <v>9</v>
      </c>
      <c r="G117" s="105">
        <v>4</v>
      </c>
      <c r="H117" s="100">
        <v>8771.4</v>
      </c>
      <c r="I117" s="94">
        <v>7752.5</v>
      </c>
      <c r="J117" s="94">
        <f>I117-47.6</f>
        <v>7704.9</v>
      </c>
      <c r="K117" s="106">
        <v>377</v>
      </c>
      <c r="L117" s="88">
        <v>2721106</v>
      </c>
      <c r="M117" s="88">
        <v>0</v>
      </c>
      <c r="N117" s="88">
        <v>0</v>
      </c>
      <c r="O117" s="88">
        <f t="shared" si="12"/>
        <v>2721106</v>
      </c>
      <c r="P117" s="88">
        <v>0</v>
      </c>
      <c r="Q117" s="100">
        <f t="shared" si="13"/>
        <v>350.99722670106416</v>
      </c>
      <c r="R117" s="102">
        <v>6774</v>
      </c>
      <c r="S117" s="103">
        <v>42735</v>
      </c>
    </row>
    <row r="118" spans="1:19" customFormat="1" ht="15.75">
      <c r="A118" s="95">
        <f t="shared" si="11"/>
        <v>99</v>
      </c>
      <c r="B118" s="104" t="s">
        <v>212</v>
      </c>
      <c r="C118" s="95">
        <v>1973</v>
      </c>
      <c r="D118" s="97"/>
      <c r="E118" s="98" t="s">
        <v>144</v>
      </c>
      <c r="F118" s="97">
        <v>9</v>
      </c>
      <c r="G118" s="97">
        <v>6</v>
      </c>
      <c r="H118" s="100">
        <v>12984.5</v>
      </c>
      <c r="I118" s="89">
        <v>11178.3</v>
      </c>
      <c r="J118" s="89">
        <f>11013.2-617.2</f>
        <v>10396</v>
      </c>
      <c r="K118" s="87">
        <v>576</v>
      </c>
      <c r="L118" s="88">
        <v>9789326.5500000007</v>
      </c>
      <c r="M118" s="88">
        <v>0</v>
      </c>
      <c r="N118" s="88">
        <v>0</v>
      </c>
      <c r="O118" s="88">
        <f t="shared" si="12"/>
        <v>9789326.5500000007</v>
      </c>
      <c r="P118" s="88">
        <v>0</v>
      </c>
      <c r="Q118" s="100">
        <f t="shared" si="13"/>
        <v>875.74376694130603</v>
      </c>
      <c r="R118" s="102">
        <v>6774</v>
      </c>
      <c r="S118" s="103">
        <v>42735</v>
      </c>
    </row>
    <row r="119" spans="1:19" customFormat="1" ht="31.5">
      <c r="A119" s="95">
        <f t="shared" si="11"/>
        <v>100</v>
      </c>
      <c r="B119" s="104" t="s">
        <v>174</v>
      </c>
      <c r="C119" s="105" t="s">
        <v>124</v>
      </c>
      <c r="D119" s="105"/>
      <c r="E119" s="98" t="s">
        <v>143</v>
      </c>
      <c r="F119" s="105">
        <v>3</v>
      </c>
      <c r="G119" s="105">
        <v>3</v>
      </c>
      <c r="H119" s="100">
        <v>1027.3</v>
      </c>
      <c r="I119" s="94">
        <v>884.7</v>
      </c>
      <c r="J119" s="94">
        <f>884.7-60.6</f>
        <v>824.1</v>
      </c>
      <c r="K119" s="106">
        <v>46</v>
      </c>
      <c r="L119" s="88">
        <v>1615074</v>
      </c>
      <c r="M119" s="88">
        <v>0</v>
      </c>
      <c r="N119" s="88">
        <v>0</v>
      </c>
      <c r="O119" s="88">
        <f t="shared" si="12"/>
        <v>1615074</v>
      </c>
      <c r="P119" s="88">
        <v>0</v>
      </c>
      <c r="Q119" s="100">
        <f t="shared" si="13"/>
        <v>1825.5612071888775</v>
      </c>
      <c r="R119" s="102">
        <v>6774</v>
      </c>
      <c r="S119" s="103">
        <v>42735</v>
      </c>
    </row>
    <row r="120" spans="1:19" customFormat="1" ht="31.5">
      <c r="A120" s="95">
        <f t="shared" si="11"/>
        <v>101</v>
      </c>
      <c r="B120" s="96" t="s">
        <v>190</v>
      </c>
      <c r="C120" s="105">
        <v>1953</v>
      </c>
      <c r="D120" s="105"/>
      <c r="E120" s="98" t="s">
        <v>143</v>
      </c>
      <c r="F120" s="105">
        <v>2</v>
      </c>
      <c r="G120" s="105">
        <v>2</v>
      </c>
      <c r="H120" s="100">
        <v>929.4</v>
      </c>
      <c r="I120" s="94">
        <v>861.6</v>
      </c>
      <c r="J120" s="94">
        <v>861.6</v>
      </c>
      <c r="K120" s="106">
        <v>55</v>
      </c>
      <c r="L120" s="88">
        <v>824390</v>
      </c>
      <c r="M120" s="88">
        <v>0</v>
      </c>
      <c r="N120" s="88">
        <v>0</v>
      </c>
      <c r="O120" s="88">
        <f t="shared" si="12"/>
        <v>824390</v>
      </c>
      <c r="P120" s="88">
        <v>0</v>
      </c>
      <c r="Q120" s="100">
        <f t="shared" si="13"/>
        <v>956.81290622098425</v>
      </c>
      <c r="R120" s="102">
        <v>6774</v>
      </c>
      <c r="S120" s="103">
        <v>42735</v>
      </c>
    </row>
    <row r="121" spans="1:19" customFormat="1" ht="15.75">
      <c r="A121" s="95">
        <f t="shared" si="11"/>
        <v>102</v>
      </c>
      <c r="B121" s="104" t="s">
        <v>216</v>
      </c>
      <c r="C121" s="97">
        <v>1951</v>
      </c>
      <c r="D121" s="97"/>
      <c r="E121" s="98" t="s">
        <v>145</v>
      </c>
      <c r="F121" s="99">
        <v>2</v>
      </c>
      <c r="G121" s="99">
        <v>3</v>
      </c>
      <c r="H121" s="100">
        <v>1448</v>
      </c>
      <c r="I121" s="100">
        <v>1391.2</v>
      </c>
      <c r="J121" s="100">
        <v>1391.2</v>
      </c>
      <c r="K121" s="101">
        <v>42</v>
      </c>
      <c r="L121" s="88">
        <v>2661189</v>
      </c>
      <c r="M121" s="88">
        <v>0</v>
      </c>
      <c r="N121" s="88">
        <v>0</v>
      </c>
      <c r="O121" s="88">
        <f t="shared" si="12"/>
        <v>2661189</v>
      </c>
      <c r="P121" s="88">
        <v>0</v>
      </c>
      <c r="Q121" s="100">
        <f t="shared" si="13"/>
        <v>1912.8730592294421</v>
      </c>
      <c r="R121" s="102">
        <v>6774</v>
      </c>
      <c r="S121" s="103">
        <v>42735</v>
      </c>
    </row>
    <row r="122" spans="1:19" s="62" customFormat="1" ht="31.5">
      <c r="A122" s="95">
        <f t="shared" si="11"/>
        <v>103</v>
      </c>
      <c r="B122" s="104" t="s">
        <v>663</v>
      </c>
      <c r="C122" s="95">
        <v>1959</v>
      </c>
      <c r="D122" s="97"/>
      <c r="E122" s="98" t="s">
        <v>143</v>
      </c>
      <c r="F122" s="97">
        <v>2</v>
      </c>
      <c r="G122" s="97">
        <v>1</v>
      </c>
      <c r="H122" s="100">
        <v>301.10000000000002</v>
      </c>
      <c r="I122" s="89">
        <v>278.2</v>
      </c>
      <c r="J122" s="89">
        <f>278.2-37.9</f>
        <v>240.29999999999998</v>
      </c>
      <c r="K122" s="87">
        <v>17</v>
      </c>
      <c r="L122" s="88">
        <v>278220</v>
      </c>
      <c r="M122" s="88">
        <v>0</v>
      </c>
      <c r="N122" s="88">
        <v>0</v>
      </c>
      <c r="O122" s="88">
        <f t="shared" si="12"/>
        <v>278220</v>
      </c>
      <c r="P122" s="88">
        <v>0</v>
      </c>
      <c r="Q122" s="100">
        <f t="shared" si="13"/>
        <v>1000.0718907260964</v>
      </c>
      <c r="R122" s="102">
        <v>6774</v>
      </c>
      <c r="S122" s="103">
        <v>42735</v>
      </c>
    </row>
    <row r="123" spans="1:19" customFormat="1" ht="31.5">
      <c r="A123" s="95">
        <f t="shared" si="11"/>
        <v>104</v>
      </c>
      <c r="B123" s="96" t="s">
        <v>664</v>
      </c>
      <c r="C123" s="105">
        <v>1928</v>
      </c>
      <c r="D123" s="105"/>
      <c r="E123" s="98" t="s">
        <v>143</v>
      </c>
      <c r="F123" s="105">
        <v>3</v>
      </c>
      <c r="G123" s="105">
        <v>6</v>
      </c>
      <c r="H123" s="100">
        <v>3387.2</v>
      </c>
      <c r="I123" s="94">
        <v>2577.6999999999998</v>
      </c>
      <c r="J123" s="94">
        <v>2346.4</v>
      </c>
      <c r="K123" s="106">
        <v>134</v>
      </c>
      <c r="L123" s="88">
        <v>2511472</v>
      </c>
      <c r="M123" s="88">
        <v>0</v>
      </c>
      <c r="N123" s="88">
        <v>0</v>
      </c>
      <c r="O123" s="88">
        <f t="shared" si="12"/>
        <v>2511472</v>
      </c>
      <c r="P123" s="88">
        <v>0</v>
      </c>
      <c r="Q123" s="100">
        <f t="shared" si="13"/>
        <v>974.30732823835206</v>
      </c>
      <c r="R123" s="102">
        <v>6774</v>
      </c>
      <c r="S123" s="103">
        <v>42735</v>
      </c>
    </row>
    <row r="124" spans="1:19" customFormat="1" ht="31.5">
      <c r="A124" s="95">
        <f t="shared" si="11"/>
        <v>105</v>
      </c>
      <c r="B124" s="96" t="s">
        <v>233</v>
      </c>
      <c r="C124" s="97">
        <v>1964</v>
      </c>
      <c r="D124" s="97"/>
      <c r="E124" s="98" t="s">
        <v>143</v>
      </c>
      <c r="F124" s="99">
        <v>4</v>
      </c>
      <c r="G124" s="99">
        <v>2</v>
      </c>
      <c r="H124" s="100">
        <v>1369.5</v>
      </c>
      <c r="I124" s="100">
        <v>1272.4000000000001</v>
      </c>
      <c r="J124" s="100">
        <f>1272.4-191.5</f>
        <v>1080.9000000000001</v>
      </c>
      <c r="K124" s="101">
        <v>67</v>
      </c>
      <c r="L124" s="88">
        <v>871988</v>
      </c>
      <c r="M124" s="88">
        <v>0</v>
      </c>
      <c r="N124" s="88">
        <v>0</v>
      </c>
      <c r="O124" s="88">
        <f t="shared" si="12"/>
        <v>871988</v>
      </c>
      <c r="P124" s="88">
        <v>0</v>
      </c>
      <c r="Q124" s="100">
        <f t="shared" si="13"/>
        <v>685.30965105312794</v>
      </c>
      <c r="R124" s="102">
        <v>6774</v>
      </c>
      <c r="S124" s="103">
        <v>42735</v>
      </c>
    </row>
    <row r="125" spans="1:19" customFormat="1" ht="31.5">
      <c r="A125" s="95">
        <f t="shared" si="11"/>
        <v>106</v>
      </c>
      <c r="B125" s="96" t="s">
        <v>232</v>
      </c>
      <c r="C125" s="97">
        <v>1966</v>
      </c>
      <c r="D125" s="97"/>
      <c r="E125" s="98" t="s">
        <v>143</v>
      </c>
      <c r="F125" s="99">
        <v>4</v>
      </c>
      <c r="G125" s="99">
        <v>4</v>
      </c>
      <c r="H125" s="100">
        <v>2740.8</v>
      </c>
      <c r="I125" s="100">
        <v>2546.4</v>
      </c>
      <c r="J125" s="100">
        <v>2546.4</v>
      </c>
      <c r="K125" s="101">
        <v>128</v>
      </c>
      <c r="L125" s="88">
        <v>2113335</v>
      </c>
      <c r="M125" s="88">
        <v>0</v>
      </c>
      <c r="N125" s="88">
        <v>0</v>
      </c>
      <c r="O125" s="88">
        <f t="shared" si="12"/>
        <v>2113335</v>
      </c>
      <c r="P125" s="88">
        <v>0</v>
      </c>
      <c r="Q125" s="100">
        <f t="shared" si="13"/>
        <v>829.93049010367577</v>
      </c>
      <c r="R125" s="102">
        <v>6774</v>
      </c>
      <c r="S125" s="103">
        <v>42735</v>
      </c>
    </row>
    <row r="126" spans="1:19" customFormat="1" ht="31.5">
      <c r="A126" s="95">
        <f t="shared" si="11"/>
        <v>107</v>
      </c>
      <c r="B126" s="104" t="s">
        <v>220</v>
      </c>
      <c r="C126" s="97">
        <v>1960</v>
      </c>
      <c r="D126" s="97"/>
      <c r="E126" s="98" t="s">
        <v>143</v>
      </c>
      <c r="F126" s="99">
        <v>2</v>
      </c>
      <c r="G126" s="99">
        <v>2</v>
      </c>
      <c r="H126" s="100">
        <v>599.70000000000005</v>
      </c>
      <c r="I126" s="100">
        <v>557.79999999999995</v>
      </c>
      <c r="J126" s="100">
        <f>557.8-37.5</f>
        <v>520.29999999999995</v>
      </c>
      <c r="K126" s="101">
        <v>30</v>
      </c>
      <c r="L126" s="88">
        <v>996585</v>
      </c>
      <c r="M126" s="88">
        <v>0</v>
      </c>
      <c r="N126" s="88">
        <v>0</v>
      </c>
      <c r="O126" s="88">
        <f t="shared" si="12"/>
        <v>996585</v>
      </c>
      <c r="P126" s="88">
        <v>0</v>
      </c>
      <c r="Q126" s="100">
        <f t="shared" si="13"/>
        <v>1786.6349946217283</v>
      </c>
      <c r="R126" s="102">
        <v>6774</v>
      </c>
      <c r="S126" s="103">
        <v>42735</v>
      </c>
    </row>
    <row r="127" spans="1:19" customFormat="1" ht="31.5">
      <c r="A127" s="95">
        <f t="shared" si="11"/>
        <v>108</v>
      </c>
      <c r="B127" s="104" t="s">
        <v>165</v>
      </c>
      <c r="C127" s="105">
        <v>1955</v>
      </c>
      <c r="D127" s="105"/>
      <c r="E127" s="98" t="s">
        <v>143</v>
      </c>
      <c r="F127" s="105">
        <v>2</v>
      </c>
      <c r="G127" s="105">
        <v>2</v>
      </c>
      <c r="H127" s="100">
        <v>743.3</v>
      </c>
      <c r="I127" s="94">
        <v>654.79999999999995</v>
      </c>
      <c r="J127" s="94">
        <f>585.8-80.7</f>
        <v>505.09999999999997</v>
      </c>
      <c r="K127" s="106">
        <v>29</v>
      </c>
      <c r="L127" s="88">
        <v>637739</v>
      </c>
      <c r="M127" s="88">
        <v>0</v>
      </c>
      <c r="N127" s="88">
        <v>0</v>
      </c>
      <c r="O127" s="88">
        <f t="shared" si="12"/>
        <v>637739</v>
      </c>
      <c r="P127" s="88">
        <v>0</v>
      </c>
      <c r="Q127" s="100">
        <f t="shared" si="13"/>
        <v>973.94471594379968</v>
      </c>
      <c r="R127" s="102">
        <v>6774</v>
      </c>
      <c r="S127" s="103">
        <v>42735</v>
      </c>
    </row>
    <row r="128" spans="1:19" customFormat="1" ht="15.75">
      <c r="A128" s="95">
        <f t="shared" si="11"/>
        <v>109</v>
      </c>
      <c r="B128" s="96" t="s">
        <v>168</v>
      </c>
      <c r="C128" s="105">
        <v>1976</v>
      </c>
      <c r="D128" s="105"/>
      <c r="E128" s="98" t="s">
        <v>144</v>
      </c>
      <c r="F128" s="105">
        <v>9</v>
      </c>
      <c r="G128" s="105">
        <v>2</v>
      </c>
      <c r="H128" s="100">
        <v>4404.1000000000004</v>
      </c>
      <c r="I128" s="94">
        <v>3885.3</v>
      </c>
      <c r="J128" s="94">
        <f>3885.3-145.2</f>
        <v>3740.1000000000004</v>
      </c>
      <c r="K128" s="106">
        <v>190</v>
      </c>
      <c r="L128" s="88">
        <v>1357217</v>
      </c>
      <c r="M128" s="88">
        <v>0</v>
      </c>
      <c r="N128" s="88">
        <v>0</v>
      </c>
      <c r="O128" s="88">
        <f t="shared" si="12"/>
        <v>1357217</v>
      </c>
      <c r="P128" s="88">
        <v>0</v>
      </c>
      <c r="Q128" s="100">
        <f t="shared" si="13"/>
        <v>349.32103055105136</v>
      </c>
      <c r="R128" s="102">
        <v>6774</v>
      </c>
      <c r="S128" s="103">
        <v>42735</v>
      </c>
    </row>
    <row r="129" spans="1:19" customFormat="1" ht="31.5">
      <c r="A129" s="95">
        <f t="shared" si="11"/>
        <v>110</v>
      </c>
      <c r="B129" s="104" t="s">
        <v>194</v>
      </c>
      <c r="C129" s="105">
        <v>1952</v>
      </c>
      <c r="D129" s="105"/>
      <c r="E129" s="98" t="s">
        <v>143</v>
      </c>
      <c r="F129" s="105">
        <v>2</v>
      </c>
      <c r="G129" s="105">
        <v>2</v>
      </c>
      <c r="H129" s="100">
        <v>409.7</v>
      </c>
      <c r="I129" s="94">
        <v>381.9</v>
      </c>
      <c r="J129" s="94">
        <v>381.9</v>
      </c>
      <c r="K129" s="106">
        <v>31</v>
      </c>
      <c r="L129" s="88">
        <v>836226</v>
      </c>
      <c r="M129" s="88">
        <v>0</v>
      </c>
      <c r="N129" s="88">
        <v>0</v>
      </c>
      <c r="O129" s="88">
        <f t="shared" si="12"/>
        <v>836226</v>
      </c>
      <c r="P129" s="88">
        <v>0</v>
      </c>
      <c r="Q129" s="100">
        <f t="shared" si="13"/>
        <v>2189.646504320503</v>
      </c>
      <c r="R129" s="102">
        <v>6774</v>
      </c>
      <c r="S129" s="103">
        <v>42735</v>
      </c>
    </row>
    <row r="130" spans="1:19" customFormat="1" ht="31.5">
      <c r="A130" s="95">
        <f t="shared" si="11"/>
        <v>111</v>
      </c>
      <c r="B130" s="104" t="s">
        <v>223</v>
      </c>
      <c r="C130" s="97">
        <v>1952</v>
      </c>
      <c r="D130" s="97"/>
      <c r="E130" s="98" t="s">
        <v>143</v>
      </c>
      <c r="F130" s="99">
        <v>2</v>
      </c>
      <c r="G130" s="99">
        <v>2</v>
      </c>
      <c r="H130" s="100">
        <v>757.9</v>
      </c>
      <c r="I130" s="100">
        <v>691.6</v>
      </c>
      <c r="J130" s="100">
        <f>662.6-43.1</f>
        <v>619.5</v>
      </c>
      <c r="K130" s="101">
        <v>25</v>
      </c>
      <c r="L130" s="88">
        <v>640078</v>
      </c>
      <c r="M130" s="88">
        <v>0</v>
      </c>
      <c r="N130" s="88">
        <v>0</v>
      </c>
      <c r="O130" s="88">
        <f t="shared" si="12"/>
        <v>640078</v>
      </c>
      <c r="P130" s="88">
        <v>0</v>
      </c>
      <c r="Q130" s="100">
        <f t="shared" si="13"/>
        <v>925.50318102949677</v>
      </c>
      <c r="R130" s="102">
        <v>6774</v>
      </c>
      <c r="S130" s="103">
        <v>42735</v>
      </c>
    </row>
    <row r="131" spans="1:19" customFormat="1" ht="31.5">
      <c r="A131" s="95">
        <f t="shared" si="11"/>
        <v>112</v>
      </c>
      <c r="B131" s="96" t="s">
        <v>161</v>
      </c>
      <c r="C131" s="105">
        <v>1959</v>
      </c>
      <c r="D131" s="105"/>
      <c r="E131" s="98" t="s">
        <v>143</v>
      </c>
      <c r="F131" s="105">
        <v>2</v>
      </c>
      <c r="G131" s="105">
        <v>2</v>
      </c>
      <c r="H131" s="100">
        <f>741.9+66.4</f>
        <v>808.3</v>
      </c>
      <c r="I131" s="94">
        <v>741.9</v>
      </c>
      <c r="J131" s="94">
        <f>I131-118.4</f>
        <v>623.5</v>
      </c>
      <c r="K131" s="106">
        <v>30</v>
      </c>
      <c r="L131" s="88">
        <v>202649</v>
      </c>
      <c r="M131" s="88">
        <v>0</v>
      </c>
      <c r="N131" s="88">
        <v>0</v>
      </c>
      <c r="O131" s="88">
        <f t="shared" si="12"/>
        <v>202649</v>
      </c>
      <c r="P131" s="88">
        <v>0</v>
      </c>
      <c r="Q131" s="100">
        <f t="shared" si="13"/>
        <v>273.14867232780699</v>
      </c>
      <c r="R131" s="102">
        <v>6774</v>
      </c>
      <c r="S131" s="103">
        <v>42735</v>
      </c>
    </row>
    <row r="132" spans="1:19" customFormat="1" ht="31.5">
      <c r="A132" s="95">
        <f t="shared" si="11"/>
        <v>113</v>
      </c>
      <c r="B132" s="104" t="s">
        <v>209</v>
      </c>
      <c r="C132" s="97">
        <v>1954</v>
      </c>
      <c r="D132" s="97"/>
      <c r="E132" s="98" t="s">
        <v>143</v>
      </c>
      <c r="F132" s="108" t="s">
        <v>125</v>
      </c>
      <c r="G132" s="99">
        <v>10</v>
      </c>
      <c r="H132" s="100">
        <v>11218.8</v>
      </c>
      <c r="I132" s="100">
        <f>7722.1+2530</f>
        <v>10252.1</v>
      </c>
      <c r="J132" s="100">
        <v>7616.6</v>
      </c>
      <c r="K132" s="101">
        <v>238</v>
      </c>
      <c r="L132" s="88">
        <v>7892437</v>
      </c>
      <c r="M132" s="88">
        <v>0</v>
      </c>
      <c r="N132" s="88">
        <v>0</v>
      </c>
      <c r="O132" s="88">
        <f t="shared" si="12"/>
        <v>7892437</v>
      </c>
      <c r="P132" s="88">
        <v>0</v>
      </c>
      <c r="Q132" s="100">
        <f t="shared" si="13"/>
        <v>769.83613113410911</v>
      </c>
      <c r="R132" s="102">
        <v>6774</v>
      </c>
      <c r="S132" s="103">
        <v>42735</v>
      </c>
    </row>
    <row r="133" spans="1:19" customFormat="1" ht="31.5">
      <c r="A133" s="95">
        <f t="shared" si="11"/>
        <v>114</v>
      </c>
      <c r="B133" s="104" t="s">
        <v>162</v>
      </c>
      <c r="C133" s="105">
        <v>1950</v>
      </c>
      <c r="D133" s="105"/>
      <c r="E133" s="98" t="s">
        <v>143</v>
      </c>
      <c r="F133" s="105">
        <v>2</v>
      </c>
      <c r="G133" s="105">
        <v>1</v>
      </c>
      <c r="H133" s="100">
        <v>242.6</v>
      </c>
      <c r="I133" s="94">
        <v>220.9</v>
      </c>
      <c r="J133" s="94">
        <v>220.9</v>
      </c>
      <c r="K133" s="106">
        <v>11</v>
      </c>
      <c r="L133" s="88">
        <v>523389</v>
      </c>
      <c r="M133" s="88">
        <v>0</v>
      </c>
      <c r="N133" s="88">
        <v>0</v>
      </c>
      <c r="O133" s="88">
        <f t="shared" si="12"/>
        <v>523389</v>
      </c>
      <c r="P133" s="88">
        <v>0</v>
      </c>
      <c r="Q133" s="100">
        <f t="shared" si="13"/>
        <v>2369.3481213218652</v>
      </c>
      <c r="R133" s="102">
        <v>6774</v>
      </c>
      <c r="S133" s="103">
        <v>42735</v>
      </c>
    </row>
    <row r="134" spans="1:19" customFormat="1" ht="15.75">
      <c r="A134" s="95">
        <f t="shared" si="11"/>
        <v>115</v>
      </c>
      <c r="B134" s="104" t="s">
        <v>189</v>
      </c>
      <c r="C134" s="105">
        <v>1950</v>
      </c>
      <c r="D134" s="105"/>
      <c r="E134" s="98" t="s">
        <v>145</v>
      </c>
      <c r="F134" s="105">
        <v>2</v>
      </c>
      <c r="G134" s="105">
        <v>3</v>
      </c>
      <c r="H134" s="100">
        <v>1372.1</v>
      </c>
      <c r="I134" s="94">
        <v>1246.7</v>
      </c>
      <c r="J134" s="94">
        <v>1246.7</v>
      </c>
      <c r="K134" s="106">
        <v>71</v>
      </c>
      <c r="L134" s="88">
        <v>1038920</v>
      </c>
      <c r="M134" s="88">
        <v>0</v>
      </c>
      <c r="N134" s="88">
        <v>0</v>
      </c>
      <c r="O134" s="88">
        <f t="shared" si="12"/>
        <v>1038920</v>
      </c>
      <c r="P134" s="88">
        <v>0</v>
      </c>
      <c r="Q134" s="100">
        <f t="shared" si="13"/>
        <v>833.33600705863478</v>
      </c>
      <c r="R134" s="102">
        <v>6774</v>
      </c>
      <c r="S134" s="103">
        <v>42735</v>
      </c>
    </row>
    <row r="135" spans="1:19" s="3" customFormat="1" ht="15.75">
      <c r="A135" s="95">
        <f t="shared" si="11"/>
        <v>116</v>
      </c>
      <c r="B135" s="104" t="s">
        <v>183</v>
      </c>
      <c r="C135" s="105">
        <v>1950</v>
      </c>
      <c r="D135" s="105"/>
      <c r="E135" s="98" t="s">
        <v>145</v>
      </c>
      <c r="F135" s="105">
        <v>2</v>
      </c>
      <c r="G135" s="105">
        <v>2</v>
      </c>
      <c r="H135" s="100">
        <v>1395</v>
      </c>
      <c r="I135" s="94">
        <v>1263.0999999999999</v>
      </c>
      <c r="J135" s="94">
        <f>1263.1-101.5</f>
        <v>1161.5999999999999</v>
      </c>
      <c r="K135" s="106">
        <v>51</v>
      </c>
      <c r="L135" s="88">
        <v>1742553</v>
      </c>
      <c r="M135" s="88">
        <v>0</v>
      </c>
      <c r="N135" s="88">
        <v>0</v>
      </c>
      <c r="O135" s="88">
        <f t="shared" si="12"/>
        <v>1742553</v>
      </c>
      <c r="P135" s="88">
        <v>0</v>
      </c>
      <c r="Q135" s="100">
        <f t="shared" si="13"/>
        <v>1379.5843559496477</v>
      </c>
      <c r="R135" s="102">
        <v>6774</v>
      </c>
      <c r="S135" s="103">
        <v>42735</v>
      </c>
    </row>
    <row r="136" spans="1:19" customFormat="1" ht="31.5">
      <c r="A136" s="95">
        <f t="shared" si="11"/>
        <v>117</v>
      </c>
      <c r="B136" s="104" t="s">
        <v>175</v>
      </c>
      <c r="C136" s="105">
        <v>1948</v>
      </c>
      <c r="D136" s="105"/>
      <c r="E136" s="98" t="s">
        <v>143</v>
      </c>
      <c r="F136" s="105">
        <v>2</v>
      </c>
      <c r="G136" s="105">
        <v>3</v>
      </c>
      <c r="H136" s="100">
        <v>1329.8</v>
      </c>
      <c r="I136" s="94">
        <v>1212.2</v>
      </c>
      <c r="J136" s="94">
        <f>1212.2-124.59</f>
        <v>1087.6100000000001</v>
      </c>
      <c r="K136" s="106">
        <v>56</v>
      </c>
      <c r="L136" s="88">
        <v>2124581</v>
      </c>
      <c r="M136" s="88">
        <v>0</v>
      </c>
      <c r="N136" s="88">
        <v>0</v>
      </c>
      <c r="O136" s="88">
        <f t="shared" si="12"/>
        <v>2124581</v>
      </c>
      <c r="P136" s="88">
        <v>0</v>
      </c>
      <c r="Q136" s="100">
        <f t="shared" si="13"/>
        <v>1752.6654017488863</v>
      </c>
      <c r="R136" s="102">
        <v>6774</v>
      </c>
      <c r="S136" s="103">
        <v>42735</v>
      </c>
    </row>
    <row r="137" spans="1:19" customFormat="1" ht="15.75">
      <c r="A137" s="95">
        <f t="shared" si="11"/>
        <v>118</v>
      </c>
      <c r="B137" s="104" t="s">
        <v>206</v>
      </c>
      <c r="C137" s="95">
        <v>1948</v>
      </c>
      <c r="D137" s="97"/>
      <c r="E137" s="98" t="s">
        <v>145</v>
      </c>
      <c r="F137" s="97">
        <v>2</v>
      </c>
      <c r="G137" s="97">
        <v>3</v>
      </c>
      <c r="H137" s="100">
        <v>1281.7</v>
      </c>
      <c r="I137" s="89">
        <v>1221.7</v>
      </c>
      <c r="J137" s="89">
        <v>1221.7</v>
      </c>
      <c r="K137" s="87">
        <v>53</v>
      </c>
      <c r="L137" s="88">
        <v>2347478</v>
      </c>
      <c r="M137" s="88">
        <v>0</v>
      </c>
      <c r="N137" s="88">
        <v>0</v>
      </c>
      <c r="O137" s="88">
        <f t="shared" si="12"/>
        <v>2347478</v>
      </c>
      <c r="P137" s="88">
        <v>0</v>
      </c>
      <c r="Q137" s="100">
        <f t="shared" si="13"/>
        <v>1921.4848162396659</v>
      </c>
      <c r="R137" s="102">
        <v>6774</v>
      </c>
      <c r="S137" s="103">
        <v>42735</v>
      </c>
    </row>
    <row r="138" spans="1:19" customFormat="1" ht="31.5">
      <c r="A138" s="95">
        <f t="shared" si="11"/>
        <v>119</v>
      </c>
      <c r="B138" s="96" t="s">
        <v>192</v>
      </c>
      <c r="C138" s="105">
        <v>1948</v>
      </c>
      <c r="D138" s="105"/>
      <c r="E138" s="98" t="s">
        <v>143</v>
      </c>
      <c r="F138" s="105">
        <v>2</v>
      </c>
      <c r="G138" s="105">
        <v>3</v>
      </c>
      <c r="H138" s="100">
        <v>1336.2</v>
      </c>
      <c r="I138" s="94">
        <v>1220.2</v>
      </c>
      <c r="J138" s="94">
        <f>1150.7</f>
        <v>1150.7</v>
      </c>
      <c r="K138" s="106">
        <v>44</v>
      </c>
      <c r="L138" s="88">
        <v>2468472</v>
      </c>
      <c r="M138" s="88">
        <v>0</v>
      </c>
      <c r="N138" s="88">
        <v>0</v>
      </c>
      <c r="O138" s="88">
        <f t="shared" si="12"/>
        <v>2468472</v>
      </c>
      <c r="P138" s="88">
        <v>0</v>
      </c>
      <c r="Q138" s="100">
        <f t="shared" si="13"/>
        <v>2023.006064579577</v>
      </c>
      <c r="R138" s="102">
        <v>6774</v>
      </c>
      <c r="S138" s="103">
        <v>42735</v>
      </c>
    </row>
    <row r="139" spans="1:19" customFormat="1" ht="31.5">
      <c r="A139" s="95">
        <f t="shared" si="11"/>
        <v>120</v>
      </c>
      <c r="B139" s="104" t="s">
        <v>208</v>
      </c>
      <c r="C139" s="97">
        <v>1950</v>
      </c>
      <c r="D139" s="107"/>
      <c r="E139" s="98" t="s">
        <v>143</v>
      </c>
      <c r="F139" s="99">
        <v>2</v>
      </c>
      <c r="G139" s="99">
        <v>2</v>
      </c>
      <c r="H139" s="100">
        <v>814.8</v>
      </c>
      <c r="I139" s="100">
        <v>732.9</v>
      </c>
      <c r="J139" s="100">
        <v>732.9</v>
      </c>
      <c r="K139" s="101">
        <v>34</v>
      </c>
      <c r="L139" s="88">
        <v>1612780</v>
      </c>
      <c r="M139" s="88">
        <v>0</v>
      </c>
      <c r="N139" s="88">
        <v>0</v>
      </c>
      <c r="O139" s="88">
        <f t="shared" si="12"/>
        <v>1612780</v>
      </c>
      <c r="P139" s="88">
        <v>0</v>
      </c>
      <c r="Q139" s="100">
        <f t="shared" si="13"/>
        <v>2200.5457770500752</v>
      </c>
      <c r="R139" s="102">
        <v>6774</v>
      </c>
      <c r="S139" s="103">
        <v>42735</v>
      </c>
    </row>
    <row r="140" spans="1:19" customFormat="1" ht="31.5">
      <c r="A140" s="95">
        <f t="shared" si="11"/>
        <v>121</v>
      </c>
      <c r="B140" s="104" t="s">
        <v>181</v>
      </c>
      <c r="C140" s="105">
        <v>1947</v>
      </c>
      <c r="D140" s="105"/>
      <c r="E140" s="98" t="s">
        <v>143</v>
      </c>
      <c r="F140" s="105">
        <v>2</v>
      </c>
      <c r="G140" s="105">
        <v>2</v>
      </c>
      <c r="H140" s="100">
        <v>794.2</v>
      </c>
      <c r="I140" s="94">
        <v>719.4</v>
      </c>
      <c r="J140" s="94">
        <v>719.4</v>
      </c>
      <c r="K140" s="106">
        <v>53</v>
      </c>
      <c r="L140" s="88">
        <v>2580419</v>
      </c>
      <c r="M140" s="88">
        <v>0</v>
      </c>
      <c r="N140" s="88">
        <v>0</v>
      </c>
      <c r="O140" s="88">
        <f t="shared" si="12"/>
        <v>2580419</v>
      </c>
      <c r="P140" s="88">
        <v>0</v>
      </c>
      <c r="Q140" s="100">
        <f t="shared" si="13"/>
        <v>3586.9043647484013</v>
      </c>
      <c r="R140" s="102">
        <v>6774</v>
      </c>
      <c r="S140" s="103">
        <v>42735</v>
      </c>
    </row>
    <row r="141" spans="1:19" customFormat="1" ht="15.75">
      <c r="A141" s="95">
        <f t="shared" si="11"/>
        <v>122</v>
      </c>
      <c r="B141" s="96" t="s">
        <v>259</v>
      </c>
      <c r="C141" s="105">
        <v>1963</v>
      </c>
      <c r="D141" s="105"/>
      <c r="E141" s="98" t="s">
        <v>144</v>
      </c>
      <c r="F141" s="105">
        <v>5</v>
      </c>
      <c r="G141" s="105">
        <v>4</v>
      </c>
      <c r="H141" s="100">
        <v>3855.3</v>
      </c>
      <c r="I141" s="94">
        <v>3580.6</v>
      </c>
      <c r="J141" s="94">
        <f>3580.6-303.4</f>
        <v>3277.2</v>
      </c>
      <c r="K141" s="106">
        <v>139</v>
      </c>
      <c r="L141" s="88">
        <v>1681645</v>
      </c>
      <c r="M141" s="88">
        <v>0</v>
      </c>
      <c r="N141" s="88">
        <v>0</v>
      </c>
      <c r="O141" s="88">
        <f t="shared" si="12"/>
        <v>1681645</v>
      </c>
      <c r="P141" s="88">
        <v>0</v>
      </c>
      <c r="Q141" s="100">
        <f t="shared" si="13"/>
        <v>469.65452717421664</v>
      </c>
      <c r="R141" s="102">
        <v>6774</v>
      </c>
      <c r="S141" s="103">
        <v>42735</v>
      </c>
    </row>
    <row r="142" spans="1:19" customFormat="1" ht="31.5">
      <c r="A142" s="95">
        <f t="shared" si="11"/>
        <v>123</v>
      </c>
      <c r="B142" s="104" t="s">
        <v>180</v>
      </c>
      <c r="C142" s="105">
        <v>1950</v>
      </c>
      <c r="D142" s="105"/>
      <c r="E142" s="98" t="s">
        <v>143</v>
      </c>
      <c r="F142" s="105">
        <v>2</v>
      </c>
      <c r="G142" s="105">
        <v>2</v>
      </c>
      <c r="H142" s="100">
        <v>803.9</v>
      </c>
      <c r="I142" s="94">
        <v>728.7</v>
      </c>
      <c r="J142" s="94">
        <f>I142-14.4</f>
        <v>714.30000000000007</v>
      </c>
      <c r="K142" s="106">
        <v>35</v>
      </c>
      <c r="L142" s="88">
        <v>1318880</v>
      </c>
      <c r="M142" s="88">
        <v>0</v>
      </c>
      <c r="N142" s="88">
        <v>0</v>
      </c>
      <c r="O142" s="88">
        <f t="shared" si="12"/>
        <v>1318880</v>
      </c>
      <c r="P142" s="88">
        <v>0</v>
      </c>
      <c r="Q142" s="100">
        <f t="shared" si="13"/>
        <v>1809.9080554411964</v>
      </c>
      <c r="R142" s="102">
        <v>6774</v>
      </c>
      <c r="S142" s="103">
        <v>42735</v>
      </c>
    </row>
    <row r="143" spans="1:19" customFormat="1" ht="15.75">
      <c r="A143" s="95">
        <f t="shared" si="11"/>
        <v>124</v>
      </c>
      <c r="B143" s="104" t="s">
        <v>170</v>
      </c>
      <c r="C143" s="105">
        <v>1949</v>
      </c>
      <c r="D143" s="105"/>
      <c r="E143" s="98" t="s">
        <v>145</v>
      </c>
      <c r="F143" s="105">
        <v>2</v>
      </c>
      <c r="G143" s="105">
        <v>1</v>
      </c>
      <c r="H143" s="100">
        <v>390.4</v>
      </c>
      <c r="I143" s="94">
        <v>359.8</v>
      </c>
      <c r="J143" s="94">
        <v>359.8</v>
      </c>
      <c r="K143" s="106">
        <v>34</v>
      </c>
      <c r="L143" s="88">
        <v>1566345</v>
      </c>
      <c r="M143" s="88">
        <v>0</v>
      </c>
      <c r="N143" s="88">
        <v>0</v>
      </c>
      <c r="O143" s="88">
        <f t="shared" si="12"/>
        <v>1566345</v>
      </c>
      <c r="P143" s="88">
        <v>0</v>
      </c>
      <c r="Q143" s="100">
        <f t="shared" si="13"/>
        <v>4353.3768760422454</v>
      </c>
      <c r="R143" s="102">
        <v>6774</v>
      </c>
      <c r="S143" s="103">
        <v>42735</v>
      </c>
    </row>
    <row r="144" spans="1:19" customFormat="1" ht="31.5">
      <c r="A144" s="95">
        <f t="shared" si="11"/>
        <v>125</v>
      </c>
      <c r="B144" s="96" t="s">
        <v>572</v>
      </c>
      <c r="C144" s="97">
        <v>1984</v>
      </c>
      <c r="D144" s="97"/>
      <c r="E144" s="98" t="s">
        <v>144</v>
      </c>
      <c r="F144" s="99">
        <v>9</v>
      </c>
      <c r="G144" s="99">
        <v>1</v>
      </c>
      <c r="H144" s="100">
        <v>2176.6999999999998</v>
      </c>
      <c r="I144" s="100">
        <v>1931.6</v>
      </c>
      <c r="J144" s="100">
        <f>1931.6-84.1</f>
        <v>1847.5</v>
      </c>
      <c r="K144" s="101">
        <v>104</v>
      </c>
      <c r="L144" s="88">
        <v>1910088</v>
      </c>
      <c r="M144" s="88">
        <v>0</v>
      </c>
      <c r="N144" s="88">
        <v>0</v>
      </c>
      <c r="O144" s="88">
        <f t="shared" si="12"/>
        <v>1910088</v>
      </c>
      <c r="P144" s="88">
        <v>0</v>
      </c>
      <c r="Q144" s="100">
        <f t="shared" si="13"/>
        <v>988.86311865810728</v>
      </c>
      <c r="R144" s="102">
        <v>6774</v>
      </c>
      <c r="S144" s="103">
        <v>42735</v>
      </c>
    </row>
    <row r="145" spans="1:19" customFormat="1" ht="31.5">
      <c r="A145" s="95">
        <f t="shared" si="11"/>
        <v>126</v>
      </c>
      <c r="B145" s="104" t="s">
        <v>204</v>
      </c>
      <c r="C145" s="95">
        <v>1966</v>
      </c>
      <c r="D145" s="97"/>
      <c r="E145" s="98" t="s">
        <v>143</v>
      </c>
      <c r="F145" s="97">
        <v>5</v>
      </c>
      <c r="G145" s="97">
        <v>3</v>
      </c>
      <c r="H145" s="100">
        <v>2817.5</v>
      </c>
      <c r="I145" s="89">
        <v>2613.5</v>
      </c>
      <c r="J145" s="89">
        <f>2613.5-363.8</f>
        <v>2249.6999999999998</v>
      </c>
      <c r="K145" s="87">
        <v>120</v>
      </c>
      <c r="L145" s="88">
        <v>2694957</v>
      </c>
      <c r="M145" s="88">
        <v>0</v>
      </c>
      <c r="N145" s="88">
        <v>0</v>
      </c>
      <c r="O145" s="88">
        <f t="shared" si="12"/>
        <v>2694957</v>
      </c>
      <c r="P145" s="88">
        <v>0</v>
      </c>
      <c r="Q145" s="100">
        <f t="shared" si="13"/>
        <v>1031.1677826669218</v>
      </c>
      <c r="R145" s="102">
        <v>6774</v>
      </c>
      <c r="S145" s="103">
        <v>42735</v>
      </c>
    </row>
    <row r="146" spans="1:19" customFormat="1" ht="31.5">
      <c r="A146" s="95">
        <f t="shared" si="11"/>
        <v>127</v>
      </c>
      <c r="B146" s="104" t="s">
        <v>345</v>
      </c>
      <c r="C146" s="105">
        <v>1958</v>
      </c>
      <c r="D146" s="105"/>
      <c r="E146" s="98" t="s">
        <v>143</v>
      </c>
      <c r="F146" s="105">
        <v>2</v>
      </c>
      <c r="G146" s="105">
        <v>1</v>
      </c>
      <c r="H146" s="100">
        <v>447.7</v>
      </c>
      <c r="I146" s="94">
        <v>404.4</v>
      </c>
      <c r="J146" s="94">
        <v>404.4</v>
      </c>
      <c r="K146" s="106">
        <v>26</v>
      </c>
      <c r="L146" s="88">
        <v>580578</v>
      </c>
      <c r="M146" s="88">
        <v>0</v>
      </c>
      <c r="N146" s="88">
        <v>0</v>
      </c>
      <c r="O146" s="88">
        <f t="shared" si="12"/>
        <v>580578</v>
      </c>
      <c r="P146" s="88">
        <v>0</v>
      </c>
      <c r="Q146" s="100">
        <f t="shared" si="13"/>
        <v>1435.652818991098</v>
      </c>
      <c r="R146" s="102">
        <v>6774</v>
      </c>
      <c r="S146" s="103">
        <v>42735</v>
      </c>
    </row>
    <row r="147" spans="1:19" customFormat="1" ht="31.5">
      <c r="A147" s="95">
        <f t="shared" si="11"/>
        <v>128</v>
      </c>
      <c r="B147" s="104" t="s">
        <v>600</v>
      </c>
      <c r="C147" s="105">
        <v>1971</v>
      </c>
      <c r="D147" s="105"/>
      <c r="E147" s="98" t="s">
        <v>143</v>
      </c>
      <c r="F147" s="105">
        <v>2</v>
      </c>
      <c r="G147" s="105">
        <v>1</v>
      </c>
      <c r="H147" s="100">
        <v>451.3</v>
      </c>
      <c r="I147" s="94">
        <v>406.8</v>
      </c>
      <c r="J147" s="94">
        <f>406.8-47</f>
        <v>359.8</v>
      </c>
      <c r="K147" s="106">
        <v>16</v>
      </c>
      <c r="L147" s="88">
        <v>615357</v>
      </c>
      <c r="M147" s="88">
        <v>0</v>
      </c>
      <c r="N147" s="88">
        <v>0</v>
      </c>
      <c r="O147" s="88">
        <f t="shared" si="12"/>
        <v>615357</v>
      </c>
      <c r="P147" s="88">
        <v>0</v>
      </c>
      <c r="Q147" s="100">
        <f t="shared" si="13"/>
        <v>1512.6769911504425</v>
      </c>
      <c r="R147" s="102">
        <v>6774</v>
      </c>
      <c r="S147" s="103">
        <v>42735</v>
      </c>
    </row>
    <row r="148" spans="1:19" customFormat="1" ht="31.5">
      <c r="A148" s="95">
        <f t="shared" si="11"/>
        <v>129</v>
      </c>
      <c r="B148" s="104" t="s">
        <v>363</v>
      </c>
      <c r="C148" s="105">
        <v>1957</v>
      </c>
      <c r="D148" s="105"/>
      <c r="E148" s="98" t="s">
        <v>143</v>
      </c>
      <c r="F148" s="105">
        <v>2</v>
      </c>
      <c r="G148" s="105">
        <v>1</v>
      </c>
      <c r="H148" s="100">
        <f>412+41.6</f>
        <v>453.6</v>
      </c>
      <c r="I148" s="94">
        <v>412</v>
      </c>
      <c r="J148" s="94">
        <f>412-61.5</f>
        <v>350.5</v>
      </c>
      <c r="K148" s="106">
        <v>21</v>
      </c>
      <c r="L148" s="88">
        <v>269948.13</v>
      </c>
      <c r="M148" s="88">
        <v>0</v>
      </c>
      <c r="N148" s="88">
        <v>0</v>
      </c>
      <c r="O148" s="88">
        <f t="shared" ref="O148:O179" si="14">L148</f>
        <v>269948.13</v>
      </c>
      <c r="P148" s="88">
        <v>0</v>
      </c>
      <c r="Q148" s="100">
        <f t="shared" ref="Q148:Q179" si="15">L148/I148</f>
        <v>655.21390776699025</v>
      </c>
      <c r="R148" s="102">
        <v>6774</v>
      </c>
      <c r="S148" s="103">
        <v>42735</v>
      </c>
    </row>
    <row r="149" spans="1:19" customFormat="1" ht="15.75">
      <c r="A149" s="95">
        <f t="shared" si="11"/>
        <v>130</v>
      </c>
      <c r="B149" s="104" t="s">
        <v>163</v>
      </c>
      <c r="C149" s="105">
        <v>1924</v>
      </c>
      <c r="D149" s="105"/>
      <c r="E149" s="98" t="s">
        <v>146</v>
      </c>
      <c r="F149" s="105">
        <v>2</v>
      </c>
      <c r="G149" s="105">
        <v>2</v>
      </c>
      <c r="H149" s="100">
        <v>474.8</v>
      </c>
      <c r="I149" s="94">
        <v>426</v>
      </c>
      <c r="J149" s="94">
        <f>426</f>
        <v>426</v>
      </c>
      <c r="K149" s="106">
        <v>28</v>
      </c>
      <c r="L149" s="88">
        <v>807980</v>
      </c>
      <c r="M149" s="88">
        <v>0</v>
      </c>
      <c r="N149" s="88">
        <v>0</v>
      </c>
      <c r="O149" s="88">
        <f t="shared" si="14"/>
        <v>807980</v>
      </c>
      <c r="P149" s="88">
        <v>0</v>
      </c>
      <c r="Q149" s="100">
        <f t="shared" si="15"/>
        <v>1896.6666666666667</v>
      </c>
      <c r="R149" s="102">
        <v>6774</v>
      </c>
      <c r="S149" s="103">
        <v>42735</v>
      </c>
    </row>
    <row r="150" spans="1:19" customFormat="1" ht="31.5">
      <c r="A150" s="95">
        <f t="shared" ref="A150:A213" si="16">A149+1</f>
        <v>131</v>
      </c>
      <c r="B150" s="104" t="s">
        <v>198</v>
      </c>
      <c r="C150" s="95">
        <v>1949</v>
      </c>
      <c r="D150" s="97"/>
      <c r="E150" s="98" t="s">
        <v>143</v>
      </c>
      <c r="F150" s="97">
        <v>2</v>
      </c>
      <c r="G150" s="97">
        <v>1</v>
      </c>
      <c r="H150" s="100">
        <v>396.2</v>
      </c>
      <c r="I150" s="89">
        <v>363.9</v>
      </c>
      <c r="J150" s="89">
        <v>363.9</v>
      </c>
      <c r="K150" s="87">
        <v>19</v>
      </c>
      <c r="L150" s="88">
        <v>661525</v>
      </c>
      <c r="M150" s="88">
        <v>0</v>
      </c>
      <c r="N150" s="88">
        <v>0</v>
      </c>
      <c r="O150" s="88">
        <f t="shared" si="14"/>
        <v>661525</v>
      </c>
      <c r="P150" s="88">
        <v>0</v>
      </c>
      <c r="Q150" s="100">
        <f t="shared" si="15"/>
        <v>1817.8757900522123</v>
      </c>
      <c r="R150" s="102">
        <v>6774</v>
      </c>
      <c r="S150" s="103">
        <v>42735</v>
      </c>
    </row>
    <row r="151" spans="1:19" customFormat="1" ht="15.75">
      <c r="A151" s="95">
        <f t="shared" si="16"/>
        <v>132</v>
      </c>
      <c r="B151" s="104" t="s">
        <v>221</v>
      </c>
      <c r="C151" s="97">
        <v>1981</v>
      </c>
      <c r="D151" s="97"/>
      <c r="E151" s="98" t="s">
        <v>144</v>
      </c>
      <c r="F151" s="99">
        <v>9</v>
      </c>
      <c r="G151" s="99">
        <v>2</v>
      </c>
      <c r="H151" s="100">
        <v>4307.2</v>
      </c>
      <c r="I151" s="100">
        <v>3860.9</v>
      </c>
      <c r="J151" s="100">
        <f>3860.9-228.3</f>
        <v>3632.6</v>
      </c>
      <c r="K151" s="101">
        <v>166</v>
      </c>
      <c r="L151" s="88">
        <v>3719885</v>
      </c>
      <c r="M151" s="88">
        <v>0</v>
      </c>
      <c r="N151" s="88">
        <v>0</v>
      </c>
      <c r="O151" s="88">
        <f t="shared" si="14"/>
        <v>3719885</v>
      </c>
      <c r="P151" s="88">
        <v>0</v>
      </c>
      <c r="Q151" s="100">
        <f t="shared" si="15"/>
        <v>963.47613250796439</v>
      </c>
      <c r="R151" s="102">
        <v>6774</v>
      </c>
      <c r="S151" s="103">
        <v>42735</v>
      </c>
    </row>
    <row r="152" spans="1:19" customFormat="1" ht="31.5">
      <c r="A152" s="95">
        <f t="shared" si="16"/>
        <v>133</v>
      </c>
      <c r="B152" s="104" t="s">
        <v>188</v>
      </c>
      <c r="C152" s="105">
        <v>1949</v>
      </c>
      <c r="D152" s="105"/>
      <c r="E152" s="98" t="s">
        <v>143</v>
      </c>
      <c r="F152" s="105">
        <v>2</v>
      </c>
      <c r="G152" s="105">
        <v>2</v>
      </c>
      <c r="H152" s="100">
        <v>782.2</v>
      </c>
      <c r="I152" s="94">
        <v>704.6</v>
      </c>
      <c r="J152" s="94">
        <f>704.6-103.4</f>
        <v>601.20000000000005</v>
      </c>
      <c r="K152" s="106">
        <v>35</v>
      </c>
      <c r="L152" s="88">
        <v>1726391</v>
      </c>
      <c r="M152" s="88">
        <v>0</v>
      </c>
      <c r="N152" s="88">
        <v>0</v>
      </c>
      <c r="O152" s="88">
        <f t="shared" si="14"/>
        <v>1726391</v>
      </c>
      <c r="P152" s="88">
        <v>0</v>
      </c>
      <c r="Q152" s="100">
        <f t="shared" si="15"/>
        <v>2450.1717286403632</v>
      </c>
      <c r="R152" s="102">
        <v>6774</v>
      </c>
      <c r="S152" s="103">
        <v>42735</v>
      </c>
    </row>
    <row r="153" spans="1:19" customFormat="1" ht="15.75">
      <c r="A153" s="95">
        <f t="shared" si="16"/>
        <v>134</v>
      </c>
      <c r="B153" s="104" t="s">
        <v>160</v>
      </c>
      <c r="C153" s="105">
        <v>1950</v>
      </c>
      <c r="D153" s="105"/>
      <c r="E153" s="98" t="s">
        <v>145</v>
      </c>
      <c r="F153" s="105">
        <v>2</v>
      </c>
      <c r="G153" s="105">
        <v>1</v>
      </c>
      <c r="H153" s="100">
        <v>428.6</v>
      </c>
      <c r="I153" s="94">
        <v>391.9</v>
      </c>
      <c r="J153" s="94">
        <v>391.9</v>
      </c>
      <c r="K153" s="106">
        <v>19</v>
      </c>
      <c r="L153" s="88">
        <v>1521754</v>
      </c>
      <c r="M153" s="88">
        <v>0</v>
      </c>
      <c r="N153" s="88">
        <v>0</v>
      </c>
      <c r="O153" s="88">
        <f t="shared" si="14"/>
        <v>1521754</v>
      </c>
      <c r="P153" s="88">
        <v>0</v>
      </c>
      <c r="Q153" s="100">
        <f t="shared" si="15"/>
        <v>3883.0160755294719</v>
      </c>
      <c r="R153" s="102">
        <v>6774</v>
      </c>
      <c r="S153" s="103">
        <v>42735</v>
      </c>
    </row>
    <row r="154" spans="1:19" customFormat="1" ht="31.5">
      <c r="A154" s="95">
        <f t="shared" si="16"/>
        <v>135</v>
      </c>
      <c r="B154" s="96" t="s">
        <v>153</v>
      </c>
      <c r="C154" s="105">
        <v>1937</v>
      </c>
      <c r="D154" s="105"/>
      <c r="E154" s="98" t="s">
        <v>143</v>
      </c>
      <c r="F154" s="105">
        <v>2</v>
      </c>
      <c r="G154" s="105">
        <v>1</v>
      </c>
      <c r="H154" s="100">
        <v>334.6</v>
      </c>
      <c r="I154" s="94">
        <v>293.89999999999998</v>
      </c>
      <c r="J154" s="94">
        <f>I154-84.58</f>
        <v>209.32</v>
      </c>
      <c r="K154" s="106">
        <v>11</v>
      </c>
      <c r="L154" s="88">
        <v>671505</v>
      </c>
      <c r="M154" s="88">
        <v>0</v>
      </c>
      <c r="N154" s="88">
        <v>0</v>
      </c>
      <c r="O154" s="88">
        <f t="shared" si="14"/>
        <v>671505</v>
      </c>
      <c r="P154" s="88">
        <v>0</v>
      </c>
      <c r="Q154" s="100">
        <f t="shared" si="15"/>
        <v>2284.8077577407284</v>
      </c>
      <c r="R154" s="102">
        <v>6774</v>
      </c>
      <c r="S154" s="103">
        <v>42735</v>
      </c>
    </row>
    <row r="155" spans="1:19" customFormat="1" ht="31.5">
      <c r="A155" s="95">
        <f t="shared" si="16"/>
        <v>136</v>
      </c>
      <c r="B155" s="104" t="s">
        <v>263</v>
      </c>
      <c r="C155" s="105">
        <v>1961</v>
      </c>
      <c r="D155" s="105"/>
      <c r="E155" s="98" t="s">
        <v>143</v>
      </c>
      <c r="F155" s="105">
        <v>3</v>
      </c>
      <c r="G155" s="105">
        <v>2</v>
      </c>
      <c r="H155" s="100">
        <v>998.3</v>
      </c>
      <c r="I155" s="94">
        <v>954.8</v>
      </c>
      <c r="J155" s="94">
        <f>954.8-128.8</f>
        <v>826</v>
      </c>
      <c r="K155" s="106">
        <v>53</v>
      </c>
      <c r="L155" s="88">
        <v>1081718</v>
      </c>
      <c r="M155" s="88">
        <v>0</v>
      </c>
      <c r="N155" s="88">
        <v>0</v>
      </c>
      <c r="O155" s="88">
        <f t="shared" si="14"/>
        <v>1081718</v>
      </c>
      <c r="P155" s="88">
        <v>0</v>
      </c>
      <c r="Q155" s="100">
        <f t="shared" si="15"/>
        <v>1132.926267281106</v>
      </c>
      <c r="R155" s="102">
        <v>6774</v>
      </c>
      <c r="S155" s="103">
        <v>42735</v>
      </c>
    </row>
    <row r="156" spans="1:19" customFormat="1" ht="15.75">
      <c r="A156" s="95">
        <f t="shared" si="16"/>
        <v>137</v>
      </c>
      <c r="B156" s="104" t="s">
        <v>156</v>
      </c>
      <c r="C156" s="105">
        <v>1960</v>
      </c>
      <c r="D156" s="105"/>
      <c r="E156" s="98" t="s">
        <v>145</v>
      </c>
      <c r="F156" s="105">
        <v>3</v>
      </c>
      <c r="G156" s="105">
        <v>2</v>
      </c>
      <c r="H156" s="100">
        <v>780.8</v>
      </c>
      <c r="I156" s="94">
        <v>756.5</v>
      </c>
      <c r="J156" s="94">
        <f>756.5-41.3</f>
        <v>715.2</v>
      </c>
      <c r="K156" s="106">
        <v>27</v>
      </c>
      <c r="L156" s="88">
        <v>206635</v>
      </c>
      <c r="M156" s="88">
        <v>0</v>
      </c>
      <c r="N156" s="88">
        <v>0</v>
      </c>
      <c r="O156" s="88">
        <f t="shared" si="14"/>
        <v>206635</v>
      </c>
      <c r="P156" s="88">
        <v>0</v>
      </c>
      <c r="Q156" s="100">
        <f t="shared" si="15"/>
        <v>273.14606741573033</v>
      </c>
      <c r="R156" s="102">
        <v>6774</v>
      </c>
      <c r="S156" s="103">
        <v>42735</v>
      </c>
    </row>
    <row r="157" spans="1:19" customFormat="1" ht="15.75">
      <c r="A157" s="95">
        <f t="shared" si="16"/>
        <v>138</v>
      </c>
      <c r="B157" s="96" t="s">
        <v>224</v>
      </c>
      <c r="C157" s="97">
        <v>1961</v>
      </c>
      <c r="D157" s="97"/>
      <c r="E157" s="98" t="s">
        <v>145</v>
      </c>
      <c r="F157" s="99">
        <v>3</v>
      </c>
      <c r="G157" s="99">
        <v>2</v>
      </c>
      <c r="H157" s="100">
        <f>755.9+75</f>
        <v>830.9</v>
      </c>
      <c r="I157" s="100">
        <v>755.9</v>
      </c>
      <c r="J157" s="100">
        <v>755.9</v>
      </c>
      <c r="K157" s="101">
        <v>39</v>
      </c>
      <c r="L157" s="88">
        <v>1044081.04</v>
      </c>
      <c r="M157" s="88">
        <v>0</v>
      </c>
      <c r="N157" s="88">
        <v>0</v>
      </c>
      <c r="O157" s="88">
        <f t="shared" si="14"/>
        <v>1044081.04</v>
      </c>
      <c r="P157" s="88">
        <v>0</v>
      </c>
      <c r="Q157" s="100">
        <f t="shared" si="15"/>
        <v>1381.2422807249636</v>
      </c>
      <c r="R157" s="102">
        <v>6774</v>
      </c>
      <c r="S157" s="103">
        <v>42735</v>
      </c>
    </row>
    <row r="158" spans="1:19" customFormat="1" ht="31.5">
      <c r="A158" s="95">
        <f t="shared" si="16"/>
        <v>139</v>
      </c>
      <c r="B158" s="96" t="s">
        <v>207</v>
      </c>
      <c r="C158" s="95">
        <v>1959</v>
      </c>
      <c r="D158" s="97"/>
      <c r="E158" s="98" t="s">
        <v>143</v>
      </c>
      <c r="F158" s="97">
        <v>2</v>
      </c>
      <c r="G158" s="97">
        <v>2</v>
      </c>
      <c r="H158" s="100">
        <f>743.3+71</f>
        <v>814.3</v>
      </c>
      <c r="I158" s="89">
        <v>743.3</v>
      </c>
      <c r="J158" s="89">
        <v>743.3</v>
      </c>
      <c r="K158" s="87">
        <v>46</v>
      </c>
      <c r="L158" s="88">
        <v>1340000</v>
      </c>
      <c r="M158" s="88">
        <v>0</v>
      </c>
      <c r="N158" s="88">
        <v>0</v>
      </c>
      <c r="O158" s="88">
        <f t="shared" si="14"/>
        <v>1340000</v>
      </c>
      <c r="P158" s="88">
        <v>0</v>
      </c>
      <c r="Q158" s="100">
        <f t="shared" si="15"/>
        <v>1802.7714247275665</v>
      </c>
      <c r="R158" s="102">
        <v>6774</v>
      </c>
      <c r="S158" s="103">
        <v>42735</v>
      </c>
    </row>
    <row r="159" spans="1:19" customFormat="1" ht="15.75">
      <c r="A159" s="95">
        <f t="shared" si="16"/>
        <v>140</v>
      </c>
      <c r="B159" s="104" t="s">
        <v>573</v>
      </c>
      <c r="C159" s="95">
        <v>1975</v>
      </c>
      <c r="D159" s="97"/>
      <c r="E159" s="98" t="s">
        <v>144</v>
      </c>
      <c r="F159" s="97">
        <v>5</v>
      </c>
      <c r="G159" s="97">
        <v>6</v>
      </c>
      <c r="H159" s="100">
        <v>4995.5</v>
      </c>
      <c r="I159" s="89">
        <v>4547</v>
      </c>
      <c r="J159" s="89">
        <f>4516.3-199.1</f>
        <v>4317.2</v>
      </c>
      <c r="K159" s="87">
        <v>147</v>
      </c>
      <c r="L159" s="88">
        <v>2294529</v>
      </c>
      <c r="M159" s="88">
        <v>0</v>
      </c>
      <c r="N159" s="88">
        <v>0</v>
      </c>
      <c r="O159" s="88">
        <f t="shared" si="14"/>
        <v>2294529</v>
      </c>
      <c r="P159" s="88">
        <v>0</v>
      </c>
      <c r="Q159" s="100">
        <f t="shared" si="15"/>
        <v>504.62480756542777</v>
      </c>
      <c r="R159" s="102">
        <v>6774</v>
      </c>
      <c r="S159" s="103">
        <v>42735</v>
      </c>
    </row>
    <row r="160" spans="1:19" customFormat="1" ht="15.75">
      <c r="A160" s="95">
        <f t="shared" si="16"/>
        <v>141</v>
      </c>
      <c r="B160" s="104" t="s">
        <v>155</v>
      </c>
      <c r="C160" s="105">
        <v>1981</v>
      </c>
      <c r="D160" s="105"/>
      <c r="E160" s="98" t="s">
        <v>144</v>
      </c>
      <c r="F160" s="105">
        <v>9</v>
      </c>
      <c r="G160" s="105">
        <v>2</v>
      </c>
      <c r="H160" s="100">
        <v>4324.6000000000004</v>
      </c>
      <c r="I160" s="94">
        <v>3840.4</v>
      </c>
      <c r="J160" s="94">
        <f>3840.4-526.9</f>
        <v>3313.5</v>
      </c>
      <c r="K160" s="106">
        <v>134</v>
      </c>
      <c r="L160" s="88">
        <v>2615616.2000000002</v>
      </c>
      <c r="M160" s="88">
        <v>0</v>
      </c>
      <c r="N160" s="88">
        <v>0</v>
      </c>
      <c r="O160" s="88">
        <f t="shared" si="14"/>
        <v>2615616.2000000002</v>
      </c>
      <c r="P160" s="88">
        <v>0</v>
      </c>
      <c r="Q160" s="100">
        <f t="shared" si="15"/>
        <v>681.07910634308928</v>
      </c>
      <c r="R160" s="102">
        <v>6774</v>
      </c>
      <c r="S160" s="103">
        <v>42735</v>
      </c>
    </row>
    <row r="161" spans="1:19" customFormat="1" ht="31.5">
      <c r="A161" s="95">
        <f t="shared" si="16"/>
        <v>142</v>
      </c>
      <c r="B161" s="96" t="s">
        <v>219</v>
      </c>
      <c r="C161" s="97">
        <v>1964</v>
      </c>
      <c r="D161" s="97"/>
      <c r="E161" s="98" t="s">
        <v>143</v>
      </c>
      <c r="F161" s="99">
        <v>5</v>
      </c>
      <c r="G161" s="99">
        <v>3</v>
      </c>
      <c r="H161" s="100">
        <v>2746.1</v>
      </c>
      <c r="I161" s="100">
        <v>2549.5</v>
      </c>
      <c r="J161" s="100">
        <f>2468.5-85.6</f>
        <v>2382.9</v>
      </c>
      <c r="K161" s="101">
        <v>100</v>
      </c>
      <c r="L161" s="88">
        <v>1561539</v>
      </c>
      <c r="M161" s="88">
        <v>0</v>
      </c>
      <c r="N161" s="88">
        <v>0</v>
      </c>
      <c r="O161" s="88">
        <f t="shared" si="14"/>
        <v>1561539</v>
      </c>
      <c r="P161" s="88">
        <v>0</v>
      </c>
      <c r="Q161" s="100">
        <f t="shared" si="15"/>
        <v>612.48833104530297</v>
      </c>
      <c r="R161" s="102">
        <v>6774</v>
      </c>
      <c r="S161" s="103">
        <v>42735</v>
      </c>
    </row>
    <row r="162" spans="1:19" customFormat="1" ht="31.5">
      <c r="A162" s="95">
        <f t="shared" si="16"/>
        <v>143</v>
      </c>
      <c r="B162" s="104" t="s">
        <v>218</v>
      </c>
      <c r="C162" s="97">
        <v>1960</v>
      </c>
      <c r="D162" s="97"/>
      <c r="E162" s="98" t="s">
        <v>143</v>
      </c>
      <c r="F162" s="99">
        <v>5</v>
      </c>
      <c r="G162" s="99">
        <v>2</v>
      </c>
      <c r="H162" s="100">
        <v>1748.6</v>
      </c>
      <c r="I162" s="100">
        <v>1625.2</v>
      </c>
      <c r="J162" s="100">
        <v>1625.2</v>
      </c>
      <c r="K162" s="101">
        <v>75</v>
      </c>
      <c r="L162" s="88">
        <v>1421187</v>
      </c>
      <c r="M162" s="88">
        <v>0</v>
      </c>
      <c r="N162" s="88">
        <v>0</v>
      </c>
      <c r="O162" s="88">
        <f t="shared" si="14"/>
        <v>1421187</v>
      </c>
      <c r="P162" s="88">
        <v>0</v>
      </c>
      <c r="Q162" s="100">
        <f t="shared" si="15"/>
        <v>874.46898843219299</v>
      </c>
      <c r="R162" s="102">
        <v>6774</v>
      </c>
      <c r="S162" s="103">
        <v>42735</v>
      </c>
    </row>
    <row r="163" spans="1:19" customFormat="1" ht="15.75">
      <c r="A163" s="95">
        <f t="shared" si="16"/>
        <v>144</v>
      </c>
      <c r="B163" s="104" t="s">
        <v>195</v>
      </c>
      <c r="C163" s="105">
        <v>1962</v>
      </c>
      <c r="D163" s="105"/>
      <c r="E163" s="98" t="s">
        <v>144</v>
      </c>
      <c r="F163" s="105">
        <v>4</v>
      </c>
      <c r="G163" s="105">
        <v>4</v>
      </c>
      <c r="H163" s="100">
        <v>3144.9</v>
      </c>
      <c r="I163" s="94">
        <v>2839.3</v>
      </c>
      <c r="J163" s="94">
        <v>2675.1</v>
      </c>
      <c r="K163" s="106">
        <v>143</v>
      </c>
      <c r="L163" s="88">
        <v>2469740</v>
      </c>
      <c r="M163" s="88">
        <v>0</v>
      </c>
      <c r="N163" s="88">
        <v>0</v>
      </c>
      <c r="O163" s="88">
        <f t="shared" si="14"/>
        <v>2469740</v>
      </c>
      <c r="P163" s="88">
        <v>0</v>
      </c>
      <c r="Q163" s="100">
        <f t="shared" si="15"/>
        <v>869.84115803190923</v>
      </c>
      <c r="R163" s="102">
        <v>6774</v>
      </c>
      <c r="S163" s="103">
        <v>42735</v>
      </c>
    </row>
    <row r="164" spans="1:19" customFormat="1" ht="31.5">
      <c r="A164" s="95">
        <f t="shared" si="16"/>
        <v>145</v>
      </c>
      <c r="B164" s="104" t="s">
        <v>177</v>
      </c>
      <c r="C164" s="105">
        <v>1986</v>
      </c>
      <c r="D164" s="105"/>
      <c r="E164" s="98" t="s">
        <v>143</v>
      </c>
      <c r="F164" s="105">
        <v>9</v>
      </c>
      <c r="G164" s="105">
        <v>1</v>
      </c>
      <c r="H164" s="100">
        <v>3416.4</v>
      </c>
      <c r="I164" s="94">
        <v>3191.6</v>
      </c>
      <c r="J164" s="94">
        <f>3191.6-125.5</f>
        <v>3066.1</v>
      </c>
      <c r="K164" s="106">
        <v>167</v>
      </c>
      <c r="L164" s="88">
        <v>1104857</v>
      </c>
      <c r="M164" s="88">
        <v>0</v>
      </c>
      <c r="N164" s="88">
        <v>0</v>
      </c>
      <c r="O164" s="88">
        <f t="shared" si="14"/>
        <v>1104857</v>
      </c>
      <c r="P164" s="88">
        <v>0</v>
      </c>
      <c r="Q164" s="100">
        <f t="shared" si="15"/>
        <v>346.17652588043615</v>
      </c>
      <c r="R164" s="102">
        <v>6774</v>
      </c>
      <c r="S164" s="103">
        <v>42735</v>
      </c>
    </row>
    <row r="165" spans="1:19" customFormat="1" ht="31.5">
      <c r="A165" s="95">
        <f t="shared" si="16"/>
        <v>146</v>
      </c>
      <c r="B165" s="104" t="s">
        <v>228</v>
      </c>
      <c r="C165" s="97">
        <v>1989</v>
      </c>
      <c r="D165" s="97"/>
      <c r="E165" s="98" t="s">
        <v>143</v>
      </c>
      <c r="F165" s="99">
        <v>9</v>
      </c>
      <c r="G165" s="99">
        <v>1</v>
      </c>
      <c r="H165" s="100">
        <v>4112.5</v>
      </c>
      <c r="I165" s="100">
        <v>3181.1</v>
      </c>
      <c r="J165" s="100">
        <v>3181.1</v>
      </c>
      <c r="K165" s="101">
        <v>168</v>
      </c>
      <c r="L165" s="88">
        <v>1877378</v>
      </c>
      <c r="M165" s="88">
        <v>0</v>
      </c>
      <c r="N165" s="88">
        <v>0</v>
      </c>
      <c r="O165" s="88">
        <f t="shared" si="14"/>
        <v>1877378</v>
      </c>
      <c r="P165" s="88">
        <v>0</v>
      </c>
      <c r="Q165" s="100">
        <f t="shared" si="15"/>
        <v>590.16629467794166</v>
      </c>
      <c r="R165" s="102">
        <v>6774</v>
      </c>
      <c r="S165" s="103">
        <v>42735</v>
      </c>
    </row>
    <row r="166" spans="1:19" customFormat="1" ht="31.5">
      <c r="A166" s="95">
        <f t="shared" si="16"/>
        <v>147</v>
      </c>
      <c r="B166" s="104" t="s">
        <v>154</v>
      </c>
      <c r="C166" s="105" t="s">
        <v>124</v>
      </c>
      <c r="D166" s="105"/>
      <c r="E166" s="98" t="s">
        <v>143</v>
      </c>
      <c r="F166" s="105">
        <v>4</v>
      </c>
      <c r="G166" s="105">
        <v>2</v>
      </c>
      <c r="H166" s="100">
        <v>1002.4</v>
      </c>
      <c r="I166" s="94">
        <v>878.31</v>
      </c>
      <c r="J166" s="94">
        <f>695.5-109.4</f>
        <v>586.1</v>
      </c>
      <c r="K166" s="106">
        <v>26</v>
      </c>
      <c r="L166" s="88">
        <v>2945836</v>
      </c>
      <c r="M166" s="88">
        <v>0</v>
      </c>
      <c r="N166" s="88">
        <v>0</v>
      </c>
      <c r="O166" s="88">
        <f t="shared" si="14"/>
        <v>2945836</v>
      </c>
      <c r="P166" s="88">
        <v>0</v>
      </c>
      <c r="Q166" s="100">
        <f t="shared" si="15"/>
        <v>3353.9820792203209</v>
      </c>
      <c r="R166" s="102">
        <v>6774</v>
      </c>
      <c r="S166" s="103">
        <v>42735</v>
      </c>
    </row>
    <row r="167" spans="1:19" customFormat="1" ht="31.5">
      <c r="A167" s="95">
        <f t="shared" si="16"/>
        <v>148</v>
      </c>
      <c r="B167" s="104" t="s">
        <v>151</v>
      </c>
      <c r="C167" s="105">
        <v>1932</v>
      </c>
      <c r="D167" s="105"/>
      <c r="E167" s="98" t="s">
        <v>143</v>
      </c>
      <c r="F167" s="105">
        <v>5</v>
      </c>
      <c r="G167" s="105">
        <v>5</v>
      </c>
      <c r="H167" s="100">
        <v>5167.6000000000004</v>
      </c>
      <c r="I167" s="94">
        <f>4174.5+450.3</f>
        <v>4624.8</v>
      </c>
      <c r="J167" s="94">
        <f>4174.5-230.1</f>
        <v>3944.4</v>
      </c>
      <c r="K167" s="106">
        <v>45</v>
      </c>
      <c r="L167" s="88">
        <v>1118494</v>
      </c>
      <c r="M167" s="88">
        <v>0</v>
      </c>
      <c r="N167" s="88">
        <v>0</v>
      </c>
      <c r="O167" s="88">
        <f t="shared" si="14"/>
        <v>1118494</v>
      </c>
      <c r="P167" s="88">
        <v>0</v>
      </c>
      <c r="Q167" s="100">
        <f t="shared" si="15"/>
        <v>241.84699878913682</v>
      </c>
      <c r="R167" s="102">
        <v>6774</v>
      </c>
      <c r="S167" s="103">
        <v>42735</v>
      </c>
    </row>
    <row r="168" spans="1:19" customFormat="1" ht="31.5">
      <c r="A168" s="95">
        <f t="shared" si="16"/>
        <v>149</v>
      </c>
      <c r="B168" s="104" t="s">
        <v>157</v>
      </c>
      <c r="C168" s="105" t="s">
        <v>124</v>
      </c>
      <c r="D168" s="105"/>
      <c r="E168" s="98" t="s">
        <v>143</v>
      </c>
      <c r="F168" s="105">
        <v>3</v>
      </c>
      <c r="G168" s="105">
        <v>2</v>
      </c>
      <c r="H168" s="100">
        <v>975.2</v>
      </c>
      <c r="I168" s="94">
        <v>925.6</v>
      </c>
      <c r="J168" s="94">
        <v>925.6</v>
      </c>
      <c r="K168" s="106">
        <v>21</v>
      </c>
      <c r="L168" s="88">
        <v>2540427</v>
      </c>
      <c r="M168" s="88">
        <v>0</v>
      </c>
      <c r="N168" s="88">
        <v>0</v>
      </c>
      <c r="O168" s="88">
        <f t="shared" si="14"/>
        <v>2540427</v>
      </c>
      <c r="P168" s="88">
        <v>0</v>
      </c>
      <c r="Q168" s="100">
        <f t="shared" si="15"/>
        <v>2744.627268798617</v>
      </c>
      <c r="R168" s="102">
        <v>6774</v>
      </c>
      <c r="S168" s="103">
        <v>42735</v>
      </c>
    </row>
    <row r="169" spans="1:19" customFormat="1" ht="31.5">
      <c r="A169" s="95">
        <f t="shared" si="16"/>
        <v>150</v>
      </c>
      <c r="B169" s="104" t="s">
        <v>200</v>
      </c>
      <c r="C169" s="95">
        <v>1951</v>
      </c>
      <c r="D169" s="97"/>
      <c r="E169" s="98" t="s">
        <v>143</v>
      </c>
      <c r="F169" s="97">
        <v>3</v>
      </c>
      <c r="G169" s="97">
        <v>3</v>
      </c>
      <c r="H169" s="100">
        <v>2112</v>
      </c>
      <c r="I169" s="89">
        <v>1945.5</v>
      </c>
      <c r="J169" s="89">
        <f>I169-198</f>
        <v>1747.5</v>
      </c>
      <c r="K169" s="87">
        <v>79</v>
      </c>
      <c r="L169" s="88">
        <v>2253297</v>
      </c>
      <c r="M169" s="88">
        <v>0</v>
      </c>
      <c r="N169" s="88">
        <v>0</v>
      </c>
      <c r="O169" s="88">
        <f t="shared" si="14"/>
        <v>2253297</v>
      </c>
      <c r="P169" s="88">
        <v>0</v>
      </c>
      <c r="Q169" s="100">
        <f t="shared" si="15"/>
        <v>1158.2097147262914</v>
      </c>
      <c r="R169" s="102">
        <v>6774</v>
      </c>
      <c r="S169" s="103">
        <v>42735</v>
      </c>
    </row>
    <row r="170" spans="1:19" customFormat="1" ht="21.75" customHeight="1">
      <c r="A170" s="95">
        <f t="shared" si="16"/>
        <v>151</v>
      </c>
      <c r="B170" s="104" t="s">
        <v>210</v>
      </c>
      <c r="C170" s="97">
        <v>1971</v>
      </c>
      <c r="D170" s="97"/>
      <c r="E170" s="98" t="s">
        <v>144</v>
      </c>
      <c r="F170" s="99">
        <v>5</v>
      </c>
      <c r="G170" s="99">
        <v>4</v>
      </c>
      <c r="H170" s="100">
        <v>3551.5</v>
      </c>
      <c r="I170" s="100">
        <v>2581.35</v>
      </c>
      <c r="J170" s="100">
        <f>2581.35-178.5</f>
        <v>2402.85</v>
      </c>
      <c r="K170" s="101">
        <v>123</v>
      </c>
      <c r="L170" s="88">
        <v>1390061</v>
      </c>
      <c r="M170" s="88">
        <v>0</v>
      </c>
      <c r="N170" s="88">
        <v>0</v>
      </c>
      <c r="O170" s="88">
        <f t="shared" si="14"/>
        <v>1390061</v>
      </c>
      <c r="P170" s="88">
        <v>0</v>
      </c>
      <c r="Q170" s="100">
        <f t="shared" si="15"/>
        <v>538.50155926162665</v>
      </c>
      <c r="R170" s="102">
        <v>6774</v>
      </c>
      <c r="S170" s="103">
        <v>42735</v>
      </c>
    </row>
    <row r="171" spans="1:19" customFormat="1" ht="31.5">
      <c r="A171" s="95">
        <f t="shared" si="16"/>
        <v>152</v>
      </c>
      <c r="B171" s="96" t="s">
        <v>266</v>
      </c>
      <c r="C171" s="95">
        <v>1961</v>
      </c>
      <c r="D171" s="97"/>
      <c r="E171" s="98" t="s">
        <v>143</v>
      </c>
      <c r="F171" s="97">
        <v>5</v>
      </c>
      <c r="G171" s="97">
        <v>4</v>
      </c>
      <c r="H171" s="100">
        <v>3226.1</v>
      </c>
      <c r="I171" s="89">
        <v>3140.3</v>
      </c>
      <c r="J171" s="89">
        <v>3140.3</v>
      </c>
      <c r="K171" s="87">
        <v>147</v>
      </c>
      <c r="L171" s="88">
        <v>3213804</v>
      </c>
      <c r="M171" s="88">
        <v>0</v>
      </c>
      <c r="N171" s="88">
        <v>0</v>
      </c>
      <c r="O171" s="88">
        <f t="shared" si="14"/>
        <v>3213804</v>
      </c>
      <c r="P171" s="88">
        <v>0</v>
      </c>
      <c r="Q171" s="100">
        <f t="shared" si="15"/>
        <v>1023.4066808903607</v>
      </c>
      <c r="R171" s="102">
        <v>6774</v>
      </c>
      <c r="S171" s="103">
        <v>42735</v>
      </c>
    </row>
    <row r="172" spans="1:19" customFormat="1" ht="31.5">
      <c r="A172" s="95">
        <f t="shared" si="16"/>
        <v>153</v>
      </c>
      <c r="B172" s="104" t="s">
        <v>222</v>
      </c>
      <c r="C172" s="97">
        <v>1958</v>
      </c>
      <c r="D172" s="97"/>
      <c r="E172" s="98" t="s">
        <v>143</v>
      </c>
      <c r="F172" s="99">
        <v>4</v>
      </c>
      <c r="G172" s="99">
        <v>3</v>
      </c>
      <c r="H172" s="100">
        <v>3072.6</v>
      </c>
      <c r="I172" s="100">
        <v>2789.4</v>
      </c>
      <c r="J172" s="100">
        <f>2383.1</f>
        <v>2383.1</v>
      </c>
      <c r="K172" s="101">
        <v>96</v>
      </c>
      <c r="L172" s="88">
        <v>3202371</v>
      </c>
      <c r="M172" s="88">
        <v>0</v>
      </c>
      <c r="N172" s="88">
        <v>0</v>
      </c>
      <c r="O172" s="88">
        <f t="shared" si="14"/>
        <v>3202371</v>
      </c>
      <c r="P172" s="88">
        <v>0</v>
      </c>
      <c r="Q172" s="100">
        <f t="shared" si="15"/>
        <v>1148.0501183050119</v>
      </c>
      <c r="R172" s="102">
        <v>6774</v>
      </c>
      <c r="S172" s="103">
        <v>42735</v>
      </c>
    </row>
    <row r="173" spans="1:19" s="3" customFormat="1" ht="31.5">
      <c r="A173" s="95">
        <f t="shared" si="16"/>
        <v>154</v>
      </c>
      <c r="B173" s="104" t="s">
        <v>178</v>
      </c>
      <c r="C173" s="105">
        <v>1959</v>
      </c>
      <c r="D173" s="105"/>
      <c r="E173" s="98" t="s">
        <v>143</v>
      </c>
      <c r="F173" s="105">
        <v>2</v>
      </c>
      <c r="G173" s="105">
        <v>1</v>
      </c>
      <c r="H173" s="100">
        <v>499</v>
      </c>
      <c r="I173" s="94">
        <v>457.6</v>
      </c>
      <c r="J173" s="94">
        <f>457.6-53.3</f>
        <v>404.3</v>
      </c>
      <c r="K173" s="106">
        <v>21</v>
      </c>
      <c r="L173" s="88">
        <v>709022</v>
      </c>
      <c r="M173" s="88">
        <v>0</v>
      </c>
      <c r="N173" s="88">
        <v>0</v>
      </c>
      <c r="O173" s="88">
        <f t="shared" si="14"/>
        <v>709022</v>
      </c>
      <c r="P173" s="88">
        <v>0</v>
      </c>
      <c r="Q173" s="100">
        <f t="shared" si="15"/>
        <v>1549.4361888111887</v>
      </c>
      <c r="R173" s="102">
        <v>6774</v>
      </c>
      <c r="S173" s="103">
        <v>42735</v>
      </c>
    </row>
    <row r="174" spans="1:19" customFormat="1" ht="31.5">
      <c r="A174" s="95">
        <f t="shared" si="16"/>
        <v>155</v>
      </c>
      <c r="B174" s="104" t="s">
        <v>185</v>
      </c>
      <c r="C174" s="105">
        <v>1958</v>
      </c>
      <c r="D174" s="105"/>
      <c r="E174" s="98" t="s">
        <v>143</v>
      </c>
      <c r="F174" s="105">
        <v>2</v>
      </c>
      <c r="G174" s="105">
        <v>1</v>
      </c>
      <c r="H174" s="100">
        <v>471.1</v>
      </c>
      <c r="I174" s="94">
        <v>406.4</v>
      </c>
      <c r="J174" s="94">
        <v>406.4</v>
      </c>
      <c r="K174" s="106">
        <v>21</v>
      </c>
      <c r="L174" s="88">
        <v>1136930</v>
      </c>
      <c r="M174" s="88">
        <v>0</v>
      </c>
      <c r="N174" s="88">
        <v>0</v>
      </c>
      <c r="O174" s="88">
        <f t="shared" si="14"/>
        <v>1136930</v>
      </c>
      <c r="P174" s="88">
        <v>0</v>
      </c>
      <c r="Q174" s="100">
        <f t="shared" si="15"/>
        <v>2797.5639763779527</v>
      </c>
      <c r="R174" s="102">
        <v>6774</v>
      </c>
      <c r="S174" s="103">
        <v>42735</v>
      </c>
    </row>
    <row r="175" spans="1:19" customFormat="1" ht="31.5">
      <c r="A175" s="95">
        <f t="shared" si="16"/>
        <v>156</v>
      </c>
      <c r="B175" s="104" t="s">
        <v>273</v>
      </c>
      <c r="C175" s="97">
        <v>1958</v>
      </c>
      <c r="D175" s="97"/>
      <c r="E175" s="98" t="s">
        <v>143</v>
      </c>
      <c r="F175" s="99">
        <v>2</v>
      </c>
      <c r="G175" s="99">
        <v>2</v>
      </c>
      <c r="H175" s="100">
        <v>620.4</v>
      </c>
      <c r="I175" s="100">
        <v>573.79999999999995</v>
      </c>
      <c r="J175" s="100">
        <f>573.8</f>
        <v>573.79999999999995</v>
      </c>
      <c r="K175" s="101">
        <v>34</v>
      </c>
      <c r="L175" s="88">
        <v>1320636</v>
      </c>
      <c r="M175" s="88">
        <v>0</v>
      </c>
      <c r="N175" s="88">
        <v>0</v>
      </c>
      <c r="O175" s="88">
        <f t="shared" si="14"/>
        <v>1320636</v>
      </c>
      <c r="P175" s="88">
        <v>0</v>
      </c>
      <c r="Q175" s="100">
        <f t="shared" si="15"/>
        <v>2301.5615196932731</v>
      </c>
      <c r="R175" s="102">
        <v>6774</v>
      </c>
      <c r="S175" s="103">
        <v>42735</v>
      </c>
    </row>
    <row r="176" spans="1:19" customFormat="1" ht="15.75">
      <c r="A176" s="95">
        <f t="shared" si="16"/>
        <v>157</v>
      </c>
      <c r="B176" s="104" t="s">
        <v>226</v>
      </c>
      <c r="C176" s="97">
        <v>1986</v>
      </c>
      <c r="D176" s="97"/>
      <c r="E176" s="98" t="s">
        <v>144</v>
      </c>
      <c r="F176" s="99">
        <v>9</v>
      </c>
      <c r="G176" s="99">
        <v>3</v>
      </c>
      <c r="H176" s="100">
        <v>9111.2000000000007</v>
      </c>
      <c r="I176" s="100">
        <v>8526.2000000000007</v>
      </c>
      <c r="J176" s="100">
        <f>I176-254.1</f>
        <v>8272.1</v>
      </c>
      <c r="K176" s="101">
        <v>308</v>
      </c>
      <c r="L176" s="88">
        <v>4265098</v>
      </c>
      <c r="M176" s="88">
        <v>0</v>
      </c>
      <c r="N176" s="88">
        <v>0</v>
      </c>
      <c r="O176" s="88">
        <f t="shared" si="14"/>
        <v>4265098</v>
      </c>
      <c r="P176" s="88">
        <v>0</v>
      </c>
      <c r="Q176" s="100">
        <f t="shared" si="15"/>
        <v>500.23433651568104</v>
      </c>
      <c r="R176" s="102">
        <v>6774</v>
      </c>
      <c r="S176" s="103">
        <v>42735</v>
      </c>
    </row>
    <row r="177" spans="1:19" customFormat="1" ht="31.5">
      <c r="A177" s="95">
        <f t="shared" si="16"/>
        <v>158</v>
      </c>
      <c r="B177" s="104" t="s">
        <v>265</v>
      </c>
      <c r="C177" s="95">
        <v>1963</v>
      </c>
      <c r="D177" s="97"/>
      <c r="E177" s="98" t="s">
        <v>143</v>
      </c>
      <c r="F177" s="97">
        <v>4</v>
      </c>
      <c r="G177" s="97">
        <v>4</v>
      </c>
      <c r="H177" s="100">
        <v>2748.6</v>
      </c>
      <c r="I177" s="89">
        <v>2549.4</v>
      </c>
      <c r="J177" s="89">
        <v>2546.3000000000002</v>
      </c>
      <c r="K177" s="87">
        <v>108</v>
      </c>
      <c r="L177" s="88">
        <v>2115890</v>
      </c>
      <c r="M177" s="88">
        <v>0</v>
      </c>
      <c r="N177" s="88">
        <v>0</v>
      </c>
      <c r="O177" s="88">
        <f t="shared" si="14"/>
        <v>2115890</v>
      </c>
      <c r="P177" s="88">
        <v>0</v>
      </c>
      <c r="Q177" s="100">
        <f t="shared" si="15"/>
        <v>829.9560680944536</v>
      </c>
      <c r="R177" s="102">
        <v>6774</v>
      </c>
      <c r="S177" s="103">
        <v>42735</v>
      </c>
    </row>
    <row r="178" spans="1:19" customFormat="1" ht="31.5">
      <c r="A178" s="95">
        <f t="shared" si="16"/>
        <v>159</v>
      </c>
      <c r="B178" s="96" t="s">
        <v>167</v>
      </c>
      <c r="C178" s="105">
        <v>1961</v>
      </c>
      <c r="D178" s="105"/>
      <c r="E178" s="98" t="s">
        <v>143</v>
      </c>
      <c r="F178" s="105">
        <v>3</v>
      </c>
      <c r="G178" s="105">
        <v>2</v>
      </c>
      <c r="H178" s="100">
        <f>755.7+73.8</f>
        <v>829.5</v>
      </c>
      <c r="I178" s="94">
        <v>755.7</v>
      </c>
      <c r="J178" s="94">
        <f>755.7-53.7</f>
        <v>702</v>
      </c>
      <c r="K178" s="106">
        <v>39</v>
      </c>
      <c r="L178" s="88">
        <v>482251.51</v>
      </c>
      <c r="M178" s="88">
        <v>0</v>
      </c>
      <c r="N178" s="88">
        <v>0</v>
      </c>
      <c r="O178" s="88">
        <f t="shared" si="14"/>
        <v>482251.51</v>
      </c>
      <c r="P178" s="88">
        <v>0</v>
      </c>
      <c r="Q178" s="100">
        <f t="shared" si="15"/>
        <v>638.15205769485237</v>
      </c>
      <c r="R178" s="102">
        <v>6774</v>
      </c>
      <c r="S178" s="103">
        <v>42735</v>
      </c>
    </row>
    <row r="179" spans="1:19" customFormat="1" ht="31.5">
      <c r="A179" s="95">
        <f t="shared" si="16"/>
        <v>160</v>
      </c>
      <c r="B179" s="104" t="s">
        <v>203</v>
      </c>
      <c r="C179" s="95">
        <v>1959</v>
      </c>
      <c r="D179" s="97"/>
      <c r="E179" s="98" t="s">
        <v>143</v>
      </c>
      <c r="F179" s="97">
        <v>3</v>
      </c>
      <c r="G179" s="97">
        <v>2</v>
      </c>
      <c r="H179" s="100">
        <v>807.1</v>
      </c>
      <c r="I179" s="89">
        <v>737.3</v>
      </c>
      <c r="J179" s="89">
        <f>737.3</f>
        <v>737.3</v>
      </c>
      <c r="K179" s="87">
        <v>28</v>
      </c>
      <c r="L179" s="88">
        <v>1018040.92</v>
      </c>
      <c r="M179" s="88">
        <v>0</v>
      </c>
      <c r="N179" s="88">
        <v>0</v>
      </c>
      <c r="O179" s="88">
        <f t="shared" si="14"/>
        <v>1018040.92</v>
      </c>
      <c r="P179" s="88">
        <v>0</v>
      </c>
      <c r="Q179" s="100">
        <f t="shared" si="15"/>
        <v>1380.7689136036893</v>
      </c>
      <c r="R179" s="102">
        <v>6774</v>
      </c>
      <c r="S179" s="103">
        <v>42735</v>
      </c>
    </row>
    <row r="180" spans="1:19" customFormat="1" ht="31.5">
      <c r="A180" s="95">
        <f t="shared" si="16"/>
        <v>161</v>
      </c>
      <c r="B180" s="104" t="s">
        <v>187</v>
      </c>
      <c r="C180" s="105">
        <v>1977</v>
      </c>
      <c r="D180" s="105"/>
      <c r="E180" s="98" t="s">
        <v>143</v>
      </c>
      <c r="F180" s="105">
        <v>9</v>
      </c>
      <c r="G180" s="105">
        <v>1</v>
      </c>
      <c r="H180" s="100">
        <v>3787.9</v>
      </c>
      <c r="I180" s="94">
        <v>3153.4</v>
      </c>
      <c r="J180" s="94">
        <f>3153.4-48.7</f>
        <v>3104.7000000000003</v>
      </c>
      <c r="K180" s="106">
        <v>174</v>
      </c>
      <c r="L180" s="88">
        <v>1871554</v>
      </c>
      <c r="M180" s="88">
        <v>0</v>
      </c>
      <c r="N180" s="88">
        <v>0</v>
      </c>
      <c r="O180" s="88">
        <f t="shared" ref="O180:O187" si="17">L180</f>
        <v>1871554</v>
      </c>
      <c r="P180" s="88">
        <v>0</v>
      </c>
      <c r="Q180" s="100">
        <f t="shared" ref="Q180:Q187" si="18">L180/I180</f>
        <v>593.50352001014778</v>
      </c>
      <c r="R180" s="102">
        <v>6774</v>
      </c>
      <c r="S180" s="103">
        <v>42735</v>
      </c>
    </row>
    <row r="181" spans="1:19" customFormat="1" ht="31.5">
      <c r="A181" s="95">
        <f t="shared" si="16"/>
        <v>162</v>
      </c>
      <c r="B181" s="96" t="s">
        <v>214</v>
      </c>
      <c r="C181" s="97">
        <v>1974</v>
      </c>
      <c r="D181" s="97"/>
      <c r="E181" s="98" t="s">
        <v>143</v>
      </c>
      <c r="F181" s="99">
        <v>5</v>
      </c>
      <c r="G181" s="99">
        <v>4</v>
      </c>
      <c r="H181" s="100">
        <v>3464.9</v>
      </c>
      <c r="I181" s="100">
        <v>3188.7</v>
      </c>
      <c r="J181" s="100">
        <v>3050.1</v>
      </c>
      <c r="K181" s="101">
        <v>130</v>
      </c>
      <c r="L181" s="88">
        <v>2652530</v>
      </c>
      <c r="M181" s="88">
        <v>0</v>
      </c>
      <c r="N181" s="88">
        <v>0</v>
      </c>
      <c r="O181" s="88">
        <f t="shared" si="17"/>
        <v>2652530</v>
      </c>
      <c r="P181" s="88">
        <v>0</v>
      </c>
      <c r="Q181" s="100">
        <f t="shared" si="18"/>
        <v>831.85310628155685</v>
      </c>
      <c r="R181" s="102">
        <v>6774</v>
      </c>
      <c r="S181" s="103">
        <v>42735</v>
      </c>
    </row>
    <row r="182" spans="1:19" customFormat="1" ht="15.75">
      <c r="A182" s="95">
        <f t="shared" si="16"/>
        <v>163</v>
      </c>
      <c r="B182" s="104" t="s">
        <v>280</v>
      </c>
      <c r="C182" s="97">
        <v>1974</v>
      </c>
      <c r="D182" s="97"/>
      <c r="E182" s="98" t="s">
        <v>144</v>
      </c>
      <c r="F182" s="99">
        <v>5</v>
      </c>
      <c r="G182" s="99">
        <v>6</v>
      </c>
      <c r="H182" s="100">
        <v>4447.6000000000004</v>
      </c>
      <c r="I182" s="100">
        <v>4413.8999999999996</v>
      </c>
      <c r="J182" s="100">
        <f>4413.9-475.3</f>
        <v>3938.5999999999995</v>
      </c>
      <c r="K182" s="101">
        <v>204</v>
      </c>
      <c r="L182" s="88">
        <v>3645969</v>
      </c>
      <c r="M182" s="88">
        <v>0</v>
      </c>
      <c r="N182" s="88">
        <v>0</v>
      </c>
      <c r="O182" s="88">
        <f t="shared" si="17"/>
        <v>3645969</v>
      </c>
      <c r="P182" s="88">
        <v>0</v>
      </c>
      <c r="Q182" s="100">
        <f t="shared" si="18"/>
        <v>826.01984639434522</v>
      </c>
      <c r="R182" s="102">
        <v>6774</v>
      </c>
      <c r="S182" s="103">
        <v>42735</v>
      </c>
    </row>
    <row r="183" spans="1:19" s="62" customFormat="1" ht="15.75">
      <c r="A183" s="95">
        <f t="shared" si="16"/>
        <v>164</v>
      </c>
      <c r="B183" s="104" t="s">
        <v>278</v>
      </c>
      <c r="C183" s="95">
        <v>1986</v>
      </c>
      <c r="D183" s="97"/>
      <c r="E183" s="98" t="s">
        <v>144</v>
      </c>
      <c r="F183" s="97">
        <v>9</v>
      </c>
      <c r="G183" s="97">
        <v>1</v>
      </c>
      <c r="H183" s="100">
        <v>2303.9</v>
      </c>
      <c r="I183" s="89">
        <v>2004.4</v>
      </c>
      <c r="J183" s="89">
        <f>I183-536.1</f>
        <v>1468.3000000000002</v>
      </c>
      <c r="K183" s="87">
        <v>73</v>
      </c>
      <c r="L183" s="88">
        <v>771330</v>
      </c>
      <c r="M183" s="88">
        <v>0</v>
      </c>
      <c r="N183" s="88">
        <v>0</v>
      </c>
      <c r="O183" s="88">
        <f t="shared" si="17"/>
        <v>771330</v>
      </c>
      <c r="P183" s="88">
        <v>0</v>
      </c>
      <c r="Q183" s="100">
        <f t="shared" si="18"/>
        <v>384.81839952105366</v>
      </c>
      <c r="R183" s="102">
        <v>6774</v>
      </c>
      <c r="S183" s="103">
        <v>42735</v>
      </c>
    </row>
    <row r="184" spans="1:19" customFormat="1" ht="15.75">
      <c r="A184" s="95">
        <f t="shared" si="16"/>
        <v>165</v>
      </c>
      <c r="B184" s="96" t="s">
        <v>276</v>
      </c>
      <c r="C184" s="105">
        <v>1972</v>
      </c>
      <c r="D184" s="105"/>
      <c r="E184" s="98" t="s">
        <v>144</v>
      </c>
      <c r="F184" s="105">
        <v>9</v>
      </c>
      <c r="G184" s="105">
        <v>1</v>
      </c>
      <c r="H184" s="100">
        <v>9107.7000000000007</v>
      </c>
      <c r="I184" s="94">
        <v>8850.82</v>
      </c>
      <c r="J184" s="94">
        <f>8059.62</f>
        <v>8059.62</v>
      </c>
      <c r="K184" s="106">
        <v>536</v>
      </c>
      <c r="L184" s="88">
        <v>1894719</v>
      </c>
      <c r="M184" s="88">
        <v>0</v>
      </c>
      <c r="N184" s="88">
        <v>0</v>
      </c>
      <c r="O184" s="88">
        <f t="shared" si="17"/>
        <v>1894719</v>
      </c>
      <c r="P184" s="88">
        <v>0</v>
      </c>
      <c r="Q184" s="100">
        <f t="shared" si="18"/>
        <v>214.07270738756409</v>
      </c>
      <c r="R184" s="102">
        <v>6774</v>
      </c>
      <c r="S184" s="103">
        <v>42735</v>
      </c>
    </row>
    <row r="185" spans="1:19" customFormat="1" ht="31.5">
      <c r="A185" s="95">
        <f t="shared" si="16"/>
        <v>166</v>
      </c>
      <c r="B185" s="104" t="s">
        <v>279</v>
      </c>
      <c r="C185" s="95">
        <v>1964</v>
      </c>
      <c r="D185" s="97"/>
      <c r="E185" s="98" t="s">
        <v>143</v>
      </c>
      <c r="F185" s="97">
        <v>5</v>
      </c>
      <c r="G185" s="97">
        <v>3</v>
      </c>
      <c r="H185" s="100">
        <v>2853.7</v>
      </c>
      <c r="I185" s="89">
        <v>2673.6</v>
      </c>
      <c r="J185" s="89">
        <f>2344.5-587.9</f>
        <v>1756.6</v>
      </c>
      <c r="K185" s="87">
        <v>112</v>
      </c>
      <c r="L185" s="88">
        <v>1492412</v>
      </c>
      <c r="M185" s="88">
        <v>0</v>
      </c>
      <c r="N185" s="88">
        <v>0</v>
      </c>
      <c r="O185" s="88">
        <f t="shared" si="17"/>
        <v>1492412</v>
      </c>
      <c r="P185" s="88">
        <v>0</v>
      </c>
      <c r="Q185" s="100">
        <f t="shared" si="18"/>
        <v>558.2031717534411</v>
      </c>
      <c r="R185" s="102">
        <v>6774</v>
      </c>
      <c r="S185" s="103">
        <v>42735</v>
      </c>
    </row>
    <row r="186" spans="1:19" customFormat="1" ht="31.5">
      <c r="A186" s="95">
        <f t="shared" si="16"/>
        <v>167</v>
      </c>
      <c r="B186" s="96" t="s">
        <v>242</v>
      </c>
      <c r="C186" s="105">
        <v>1884</v>
      </c>
      <c r="D186" s="105"/>
      <c r="E186" s="98" t="s">
        <v>143</v>
      </c>
      <c r="F186" s="105">
        <v>2</v>
      </c>
      <c r="G186" s="105">
        <v>2</v>
      </c>
      <c r="H186" s="100">
        <v>975.5</v>
      </c>
      <c r="I186" s="94">
        <v>886</v>
      </c>
      <c r="J186" s="94">
        <f>886-323.3</f>
        <v>562.70000000000005</v>
      </c>
      <c r="K186" s="106">
        <v>52</v>
      </c>
      <c r="L186" s="88">
        <v>651523.25</v>
      </c>
      <c r="M186" s="88">
        <v>0</v>
      </c>
      <c r="N186" s="88">
        <v>0</v>
      </c>
      <c r="O186" s="88">
        <f t="shared" si="17"/>
        <v>651523.25</v>
      </c>
      <c r="P186" s="88">
        <v>0</v>
      </c>
      <c r="Q186" s="100">
        <f t="shared" si="18"/>
        <v>735.35355530474044</v>
      </c>
      <c r="R186" s="102">
        <v>6774</v>
      </c>
      <c r="S186" s="103">
        <v>42735</v>
      </c>
    </row>
    <row r="187" spans="1:19" customFormat="1" ht="15.75">
      <c r="A187" s="95">
        <f t="shared" si="16"/>
        <v>168</v>
      </c>
      <c r="B187" s="104" t="s">
        <v>277</v>
      </c>
      <c r="C187" s="105">
        <v>1948</v>
      </c>
      <c r="D187" s="105"/>
      <c r="E187" s="98" t="s">
        <v>145</v>
      </c>
      <c r="F187" s="105">
        <v>2</v>
      </c>
      <c r="G187" s="105">
        <v>2</v>
      </c>
      <c r="H187" s="100">
        <v>758.1</v>
      </c>
      <c r="I187" s="94">
        <v>689.8</v>
      </c>
      <c r="J187" s="94">
        <f>689.8-83.7</f>
        <v>606.09999999999991</v>
      </c>
      <c r="K187" s="106">
        <v>34</v>
      </c>
      <c r="L187" s="88">
        <v>1221424.83</v>
      </c>
      <c r="M187" s="88">
        <v>0</v>
      </c>
      <c r="N187" s="88">
        <v>0</v>
      </c>
      <c r="O187" s="88">
        <f t="shared" si="17"/>
        <v>1221424.83</v>
      </c>
      <c r="P187" s="88">
        <v>0</v>
      </c>
      <c r="Q187" s="100">
        <f t="shared" si="18"/>
        <v>1770.6941577268776</v>
      </c>
      <c r="R187" s="102">
        <v>6774</v>
      </c>
      <c r="S187" s="103">
        <v>42735</v>
      </c>
    </row>
    <row r="188" spans="1:19" s="1" customFormat="1" ht="15.75" customHeight="1">
      <c r="A188" s="95"/>
      <c r="B188" s="294" t="s">
        <v>607</v>
      </c>
      <c r="C188" s="294"/>
      <c r="D188" s="294"/>
      <c r="E188" s="294"/>
      <c r="F188" s="294"/>
      <c r="G188" s="294"/>
      <c r="H188" s="100">
        <f t="shared" ref="H188:N188" si="19">SUM(H189:H196)</f>
        <v>54965.7</v>
      </c>
      <c r="I188" s="92">
        <f t="shared" si="19"/>
        <v>47101</v>
      </c>
      <c r="J188" s="92">
        <f t="shared" si="19"/>
        <v>43723.9</v>
      </c>
      <c r="K188" s="93">
        <f t="shared" si="19"/>
        <v>1856</v>
      </c>
      <c r="L188" s="88">
        <f t="shared" si="19"/>
        <v>31626806</v>
      </c>
      <c r="M188" s="88">
        <f t="shared" si="19"/>
        <v>0</v>
      </c>
      <c r="N188" s="88">
        <f t="shared" si="19"/>
        <v>0</v>
      </c>
      <c r="O188" s="88">
        <f>SUM(O189:O196)</f>
        <v>31626806</v>
      </c>
      <c r="P188" s="88">
        <f t="shared" ref="P188" si="20">SUM(P189:P195)</f>
        <v>0</v>
      </c>
      <c r="Q188" s="94" t="s">
        <v>40</v>
      </c>
      <c r="R188" s="94" t="s">
        <v>40</v>
      </c>
      <c r="S188" s="94" t="s">
        <v>40</v>
      </c>
    </row>
    <row r="189" spans="1:19" s="26" customFormat="1" ht="15.75">
      <c r="A189" s="95">
        <f>A187+1</f>
        <v>169</v>
      </c>
      <c r="B189" s="96" t="s">
        <v>368</v>
      </c>
      <c r="C189" s="97">
        <v>1980</v>
      </c>
      <c r="D189" s="97"/>
      <c r="E189" s="98" t="s">
        <v>144</v>
      </c>
      <c r="F189" s="97">
        <v>9</v>
      </c>
      <c r="G189" s="97">
        <v>6</v>
      </c>
      <c r="H189" s="100">
        <v>13317.8</v>
      </c>
      <c r="I189" s="100">
        <v>11537.1</v>
      </c>
      <c r="J189" s="109">
        <v>10579.3</v>
      </c>
      <c r="K189" s="110">
        <v>449</v>
      </c>
      <c r="L189" s="88">
        <v>7506577</v>
      </c>
      <c r="M189" s="88">
        <v>0</v>
      </c>
      <c r="N189" s="88">
        <v>0</v>
      </c>
      <c r="O189" s="88">
        <f t="shared" ref="O189:O196" si="21">L189</f>
        <v>7506577</v>
      </c>
      <c r="P189" s="88">
        <v>0</v>
      </c>
      <c r="Q189" s="100">
        <f t="shared" ref="Q189:Q196" si="22">L189/I189</f>
        <v>650.64678298705917</v>
      </c>
      <c r="R189" s="100">
        <v>6774</v>
      </c>
      <c r="S189" s="103">
        <v>42735</v>
      </c>
    </row>
    <row r="190" spans="1:19" s="26" customFormat="1" ht="31.5">
      <c r="A190" s="95">
        <f t="shared" si="16"/>
        <v>170</v>
      </c>
      <c r="B190" s="96" t="s">
        <v>665</v>
      </c>
      <c r="C190" s="97">
        <v>1980</v>
      </c>
      <c r="D190" s="97"/>
      <c r="E190" s="98" t="s">
        <v>143</v>
      </c>
      <c r="F190" s="97">
        <v>9</v>
      </c>
      <c r="G190" s="97">
        <v>1</v>
      </c>
      <c r="H190" s="100">
        <v>3890</v>
      </c>
      <c r="I190" s="100">
        <v>2884.3</v>
      </c>
      <c r="J190" s="109">
        <v>2884.3</v>
      </c>
      <c r="K190" s="110">
        <v>99</v>
      </c>
      <c r="L190" s="88">
        <v>1846064</v>
      </c>
      <c r="M190" s="88">
        <v>0</v>
      </c>
      <c r="N190" s="88">
        <v>0</v>
      </c>
      <c r="O190" s="88">
        <f t="shared" si="21"/>
        <v>1846064</v>
      </c>
      <c r="P190" s="88">
        <v>0</v>
      </c>
      <c r="Q190" s="100">
        <f t="shared" si="22"/>
        <v>640.03883091217972</v>
      </c>
      <c r="R190" s="100">
        <v>6774</v>
      </c>
      <c r="S190" s="103">
        <v>42735</v>
      </c>
    </row>
    <row r="191" spans="1:19" s="26" customFormat="1" ht="15.75">
      <c r="A191" s="95">
        <f t="shared" si="16"/>
        <v>171</v>
      </c>
      <c r="B191" s="96" t="s">
        <v>118</v>
      </c>
      <c r="C191" s="97">
        <v>1983</v>
      </c>
      <c r="D191" s="97"/>
      <c r="E191" s="98" t="s">
        <v>144</v>
      </c>
      <c r="F191" s="97">
        <v>9</v>
      </c>
      <c r="G191" s="97">
        <v>4</v>
      </c>
      <c r="H191" s="100">
        <v>9026.7999999999993</v>
      </c>
      <c r="I191" s="100">
        <v>7890.6</v>
      </c>
      <c r="J191" s="109">
        <v>6735</v>
      </c>
      <c r="K191" s="110">
        <v>328</v>
      </c>
      <c r="L191" s="88">
        <v>5600467</v>
      </c>
      <c r="M191" s="88">
        <v>0</v>
      </c>
      <c r="N191" s="88">
        <v>0</v>
      </c>
      <c r="O191" s="88">
        <f t="shared" si="21"/>
        <v>5600467</v>
      </c>
      <c r="P191" s="88">
        <v>0</v>
      </c>
      <c r="Q191" s="100">
        <f t="shared" si="22"/>
        <v>709.7644032139508</v>
      </c>
      <c r="R191" s="100">
        <v>6774</v>
      </c>
      <c r="S191" s="103">
        <v>42735</v>
      </c>
    </row>
    <row r="192" spans="1:19" s="26" customFormat="1" ht="15.75">
      <c r="A192" s="95">
        <f t="shared" si="16"/>
        <v>172</v>
      </c>
      <c r="B192" s="96" t="s">
        <v>129</v>
      </c>
      <c r="C192" s="95">
        <v>1989</v>
      </c>
      <c r="D192" s="111"/>
      <c r="E192" s="98" t="s">
        <v>144</v>
      </c>
      <c r="F192" s="111">
        <v>5</v>
      </c>
      <c r="G192" s="97">
        <v>9</v>
      </c>
      <c r="H192" s="100">
        <v>8256.2999999999993</v>
      </c>
      <c r="I192" s="100">
        <v>7537.8</v>
      </c>
      <c r="J192" s="109">
        <v>7521.5</v>
      </c>
      <c r="K192" s="110">
        <v>275</v>
      </c>
      <c r="L192" s="88">
        <v>3775964</v>
      </c>
      <c r="M192" s="88">
        <v>0</v>
      </c>
      <c r="N192" s="88">
        <v>0</v>
      </c>
      <c r="O192" s="88">
        <f t="shared" si="21"/>
        <v>3775964</v>
      </c>
      <c r="P192" s="88">
        <v>0</v>
      </c>
      <c r="Q192" s="100">
        <f t="shared" si="22"/>
        <v>500.93714346361008</v>
      </c>
      <c r="R192" s="100">
        <v>6774</v>
      </c>
      <c r="S192" s="103">
        <v>42735</v>
      </c>
    </row>
    <row r="193" spans="1:19" s="26" customFormat="1" ht="15.75">
      <c r="A193" s="95">
        <f t="shared" si="16"/>
        <v>173</v>
      </c>
      <c r="B193" s="96" t="s">
        <v>107</v>
      </c>
      <c r="C193" s="97">
        <v>1987</v>
      </c>
      <c r="D193" s="97"/>
      <c r="E193" s="98" t="s">
        <v>144</v>
      </c>
      <c r="F193" s="97">
        <v>9</v>
      </c>
      <c r="G193" s="97">
        <v>2</v>
      </c>
      <c r="H193" s="100">
        <v>4418.5</v>
      </c>
      <c r="I193" s="100">
        <v>3916.5</v>
      </c>
      <c r="J193" s="109">
        <v>3772.1</v>
      </c>
      <c r="K193" s="110">
        <v>152</v>
      </c>
      <c r="L193" s="88">
        <v>3714534</v>
      </c>
      <c r="M193" s="88">
        <v>0</v>
      </c>
      <c r="N193" s="88">
        <v>0</v>
      </c>
      <c r="O193" s="88">
        <f t="shared" si="21"/>
        <v>3714534</v>
      </c>
      <c r="P193" s="88">
        <v>0</v>
      </c>
      <c r="Q193" s="100">
        <f t="shared" si="22"/>
        <v>948.43201838376103</v>
      </c>
      <c r="R193" s="100">
        <v>6774</v>
      </c>
      <c r="S193" s="103">
        <v>42735</v>
      </c>
    </row>
    <row r="194" spans="1:19" s="26" customFormat="1" ht="15.75">
      <c r="A194" s="95">
        <f t="shared" si="16"/>
        <v>174</v>
      </c>
      <c r="B194" s="96" t="s">
        <v>108</v>
      </c>
      <c r="C194" s="97">
        <v>1989</v>
      </c>
      <c r="D194" s="97"/>
      <c r="E194" s="98" t="s">
        <v>144</v>
      </c>
      <c r="F194" s="97">
        <v>5</v>
      </c>
      <c r="G194" s="97">
        <v>2</v>
      </c>
      <c r="H194" s="100">
        <v>4432.7</v>
      </c>
      <c r="I194" s="100">
        <v>3924.6</v>
      </c>
      <c r="J194" s="109">
        <v>3733.1</v>
      </c>
      <c r="K194" s="110">
        <v>170</v>
      </c>
      <c r="L194" s="88">
        <v>3603162</v>
      </c>
      <c r="M194" s="88">
        <v>0</v>
      </c>
      <c r="N194" s="88">
        <v>0</v>
      </c>
      <c r="O194" s="88">
        <f t="shared" si="21"/>
        <v>3603162</v>
      </c>
      <c r="P194" s="88">
        <v>0</v>
      </c>
      <c r="Q194" s="100">
        <f t="shared" si="22"/>
        <v>918.09662131172604</v>
      </c>
      <c r="R194" s="100">
        <v>6774</v>
      </c>
      <c r="S194" s="103">
        <v>42735</v>
      </c>
    </row>
    <row r="195" spans="1:19" s="26" customFormat="1" ht="15.75">
      <c r="A195" s="95">
        <f t="shared" si="16"/>
        <v>175</v>
      </c>
      <c r="B195" s="96" t="s">
        <v>106</v>
      </c>
      <c r="C195" s="97">
        <v>1988</v>
      </c>
      <c r="D195" s="97"/>
      <c r="E195" s="98" t="s">
        <v>144</v>
      </c>
      <c r="F195" s="97">
        <v>3</v>
      </c>
      <c r="G195" s="97">
        <v>2</v>
      </c>
      <c r="H195" s="100">
        <v>9352.7999999999993</v>
      </c>
      <c r="I195" s="100">
        <v>7426.6</v>
      </c>
      <c r="J195" s="109">
        <v>6891.3</v>
      </c>
      <c r="K195" s="110">
        <v>304</v>
      </c>
      <c r="L195" s="88">
        <v>3738962</v>
      </c>
      <c r="M195" s="88">
        <v>0</v>
      </c>
      <c r="N195" s="88">
        <v>0</v>
      </c>
      <c r="O195" s="88">
        <f t="shared" si="21"/>
        <v>3738962</v>
      </c>
      <c r="P195" s="88">
        <v>0</v>
      </c>
      <c r="Q195" s="100">
        <f t="shared" si="22"/>
        <v>503.45541701451538</v>
      </c>
      <c r="R195" s="100">
        <v>6774</v>
      </c>
      <c r="S195" s="103">
        <v>42735</v>
      </c>
    </row>
    <row r="196" spans="1:19" s="26" customFormat="1" ht="31.5">
      <c r="A196" s="95">
        <f t="shared" si="16"/>
        <v>176</v>
      </c>
      <c r="B196" s="96" t="s">
        <v>117</v>
      </c>
      <c r="C196" s="97">
        <v>1975</v>
      </c>
      <c r="D196" s="97"/>
      <c r="E196" s="98" t="s">
        <v>143</v>
      </c>
      <c r="F196" s="97">
        <v>5</v>
      </c>
      <c r="G196" s="97">
        <v>1</v>
      </c>
      <c r="H196" s="100">
        <v>2270.8000000000002</v>
      </c>
      <c r="I196" s="100">
        <v>1983.5</v>
      </c>
      <c r="J196" s="109">
        <v>1607.3</v>
      </c>
      <c r="K196" s="110">
        <v>79</v>
      </c>
      <c r="L196" s="88">
        <v>1841076</v>
      </c>
      <c r="M196" s="88">
        <v>0</v>
      </c>
      <c r="N196" s="88">
        <v>0</v>
      </c>
      <c r="O196" s="88">
        <f t="shared" si="21"/>
        <v>1841076</v>
      </c>
      <c r="P196" s="88">
        <v>0</v>
      </c>
      <c r="Q196" s="100">
        <f t="shared" si="22"/>
        <v>928.19561381396522</v>
      </c>
      <c r="R196" s="100">
        <v>6774</v>
      </c>
      <c r="S196" s="103">
        <v>42735</v>
      </c>
    </row>
    <row r="197" spans="1:19" s="26" customFormat="1" ht="15.75" customHeight="1">
      <c r="A197" s="95"/>
      <c r="B197" s="295" t="s">
        <v>608</v>
      </c>
      <c r="C197" s="295"/>
      <c r="D197" s="295"/>
      <c r="E197" s="295"/>
      <c r="F197" s="295"/>
      <c r="G197" s="295"/>
      <c r="H197" s="100">
        <f>H198</f>
        <v>488.9</v>
      </c>
      <c r="I197" s="100">
        <f t="shared" ref="I197:P197" si="23">I198</f>
        <v>439.9</v>
      </c>
      <c r="J197" s="100">
        <f t="shared" si="23"/>
        <v>439.9</v>
      </c>
      <c r="K197" s="101">
        <f t="shared" si="23"/>
        <v>25</v>
      </c>
      <c r="L197" s="88">
        <f t="shared" si="23"/>
        <v>1719552</v>
      </c>
      <c r="M197" s="88">
        <f t="shared" si="23"/>
        <v>0</v>
      </c>
      <c r="N197" s="88">
        <f t="shared" si="23"/>
        <v>0</v>
      </c>
      <c r="O197" s="88">
        <f t="shared" si="23"/>
        <v>1719552</v>
      </c>
      <c r="P197" s="88">
        <f t="shared" si="23"/>
        <v>0</v>
      </c>
      <c r="Q197" s="100" t="s">
        <v>40</v>
      </c>
      <c r="R197" s="112" t="s">
        <v>40</v>
      </c>
      <c r="S197" s="112" t="s">
        <v>40</v>
      </c>
    </row>
    <row r="198" spans="1:19" s="1" customFormat="1" ht="31.5">
      <c r="A198" s="95">
        <f>A196+1</f>
        <v>177</v>
      </c>
      <c r="B198" s="113" t="s">
        <v>561</v>
      </c>
      <c r="C198" s="91">
        <v>1963</v>
      </c>
      <c r="D198" s="91"/>
      <c r="E198" s="98" t="s">
        <v>143</v>
      </c>
      <c r="F198" s="91">
        <v>1</v>
      </c>
      <c r="G198" s="91">
        <v>5</v>
      </c>
      <c r="H198" s="100">
        <v>488.9</v>
      </c>
      <c r="I198" s="92">
        <v>439.9</v>
      </c>
      <c r="J198" s="92">
        <v>439.9</v>
      </c>
      <c r="K198" s="93">
        <v>25</v>
      </c>
      <c r="L198" s="88">
        <v>1719552</v>
      </c>
      <c r="M198" s="88">
        <v>0</v>
      </c>
      <c r="N198" s="88">
        <v>0</v>
      </c>
      <c r="O198" s="88">
        <v>1719552</v>
      </c>
      <c r="P198" s="88">
        <v>0</v>
      </c>
      <c r="Q198" s="92">
        <f>L198/I198</f>
        <v>3908.961127528984</v>
      </c>
      <c r="R198" s="100">
        <v>6774</v>
      </c>
      <c r="S198" s="103">
        <v>42735</v>
      </c>
    </row>
    <row r="199" spans="1:19" s="1" customFormat="1" ht="15.75" customHeight="1">
      <c r="A199" s="95"/>
      <c r="B199" s="294" t="s">
        <v>609</v>
      </c>
      <c r="C199" s="294"/>
      <c r="D199" s="294"/>
      <c r="E199" s="294"/>
      <c r="F199" s="294"/>
      <c r="G199" s="294"/>
      <c r="H199" s="92">
        <f>SUM(H200:H224)</f>
        <v>59577</v>
      </c>
      <c r="I199" s="92">
        <f t="shared" ref="I199:P199" si="24">SUM(I200:I224)</f>
        <v>50043.8</v>
      </c>
      <c r="J199" s="92">
        <f>SUM(J200:J224)</f>
        <v>43596.499999999993</v>
      </c>
      <c r="K199" s="93">
        <f t="shared" si="24"/>
        <v>1841</v>
      </c>
      <c r="L199" s="88">
        <f t="shared" si="24"/>
        <v>38840631</v>
      </c>
      <c r="M199" s="88">
        <f t="shared" si="24"/>
        <v>0</v>
      </c>
      <c r="N199" s="88">
        <f t="shared" si="24"/>
        <v>0</v>
      </c>
      <c r="O199" s="88">
        <f>SUM(O200:O224)</f>
        <v>38840631</v>
      </c>
      <c r="P199" s="88">
        <f t="shared" si="24"/>
        <v>0</v>
      </c>
      <c r="Q199" s="94" t="s">
        <v>40</v>
      </c>
      <c r="R199" s="94" t="s">
        <v>40</v>
      </c>
      <c r="S199" s="94" t="s">
        <v>40</v>
      </c>
    </row>
    <row r="200" spans="1:19" s="1" customFormat="1" ht="31.5">
      <c r="A200" s="95">
        <f>A198+1</f>
        <v>178</v>
      </c>
      <c r="B200" s="114" t="s">
        <v>370</v>
      </c>
      <c r="C200" s="105">
        <v>1961</v>
      </c>
      <c r="D200" s="105"/>
      <c r="E200" s="98" t="s">
        <v>143</v>
      </c>
      <c r="F200" s="106">
        <v>2</v>
      </c>
      <c r="G200" s="106">
        <v>2</v>
      </c>
      <c r="H200" s="89">
        <v>579.29999999999995</v>
      </c>
      <c r="I200" s="94">
        <v>534.79999999999995</v>
      </c>
      <c r="J200" s="94">
        <v>534.79999999999995</v>
      </c>
      <c r="K200" s="106">
        <v>35</v>
      </c>
      <c r="L200" s="88">
        <v>928564</v>
      </c>
      <c r="M200" s="88">
        <v>0</v>
      </c>
      <c r="N200" s="88">
        <v>0</v>
      </c>
      <c r="O200" s="88">
        <f t="shared" ref="O200:O224" si="25">L200</f>
        <v>928564</v>
      </c>
      <c r="P200" s="88">
        <v>0</v>
      </c>
      <c r="Q200" s="94">
        <f>L200/I200</f>
        <v>1736.2827225130891</v>
      </c>
      <c r="R200" s="100">
        <v>6774</v>
      </c>
      <c r="S200" s="103">
        <v>42643</v>
      </c>
    </row>
    <row r="201" spans="1:19" s="1" customFormat="1" ht="31.5">
      <c r="A201" s="95">
        <f t="shared" si="16"/>
        <v>179</v>
      </c>
      <c r="B201" s="114" t="s">
        <v>374</v>
      </c>
      <c r="C201" s="105">
        <v>1963</v>
      </c>
      <c r="D201" s="105"/>
      <c r="E201" s="98" t="s">
        <v>143</v>
      </c>
      <c r="F201" s="106">
        <v>4</v>
      </c>
      <c r="G201" s="106">
        <v>3</v>
      </c>
      <c r="H201" s="89">
        <v>2682.4</v>
      </c>
      <c r="I201" s="94">
        <v>1997.5</v>
      </c>
      <c r="J201" s="94">
        <v>1997.5</v>
      </c>
      <c r="K201" s="106">
        <v>97</v>
      </c>
      <c r="L201" s="88">
        <v>1702522</v>
      </c>
      <c r="M201" s="88">
        <v>0</v>
      </c>
      <c r="N201" s="88">
        <v>0</v>
      </c>
      <c r="O201" s="88">
        <f t="shared" si="25"/>
        <v>1702522</v>
      </c>
      <c r="P201" s="88">
        <v>0</v>
      </c>
      <c r="Q201" s="94">
        <f>L201/I201</f>
        <v>852.32640801001253</v>
      </c>
      <c r="R201" s="100">
        <v>6774</v>
      </c>
      <c r="S201" s="103">
        <v>42643</v>
      </c>
    </row>
    <row r="202" spans="1:19" s="1" customFormat="1" ht="15.75">
      <c r="A202" s="95">
        <f t="shared" si="16"/>
        <v>180</v>
      </c>
      <c r="B202" s="114" t="s">
        <v>373</v>
      </c>
      <c r="C202" s="105">
        <v>1975</v>
      </c>
      <c r="D202" s="105"/>
      <c r="E202" s="98" t="s">
        <v>144</v>
      </c>
      <c r="F202" s="106">
        <v>5</v>
      </c>
      <c r="G202" s="106">
        <v>4</v>
      </c>
      <c r="H202" s="89">
        <v>5011.6000000000004</v>
      </c>
      <c r="I202" s="94">
        <v>4592.8</v>
      </c>
      <c r="J202" s="94">
        <v>4592.8</v>
      </c>
      <c r="K202" s="106">
        <v>147</v>
      </c>
      <c r="L202" s="88">
        <v>2247511</v>
      </c>
      <c r="M202" s="88">
        <v>0</v>
      </c>
      <c r="N202" s="88">
        <v>0</v>
      </c>
      <c r="O202" s="88">
        <f t="shared" si="25"/>
        <v>2247511</v>
      </c>
      <c r="P202" s="88">
        <v>0</v>
      </c>
      <c r="Q202" s="94">
        <f>L202/I202</f>
        <v>489.35529524473088</v>
      </c>
      <c r="R202" s="100">
        <v>6774</v>
      </c>
      <c r="S202" s="103">
        <v>42643</v>
      </c>
    </row>
    <row r="203" spans="1:19" s="1" customFormat="1" ht="15.75">
      <c r="A203" s="95">
        <f t="shared" si="16"/>
        <v>181</v>
      </c>
      <c r="B203" s="114" t="s">
        <v>297</v>
      </c>
      <c r="C203" s="105">
        <v>1967</v>
      </c>
      <c r="D203" s="105"/>
      <c r="E203" s="98" t="s">
        <v>145</v>
      </c>
      <c r="F203" s="106">
        <v>5</v>
      </c>
      <c r="G203" s="106">
        <v>3</v>
      </c>
      <c r="H203" s="89">
        <v>3281.3</v>
      </c>
      <c r="I203" s="94">
        <v>2536.6</v>
      </c>
      <c r="J203" s="94">
        <v>2536.6</v>
      </c>
      <c r="K203" s="106">
        <v>154</v>
      </c>
      <c r="L203" s="88">
        <v>1539002</v>
      </c>
      <c r="M203" s="88">
        <v>0</v>
      </c>
      <c r="N203" s="88">
        <v>0</v>
      </c>
      <c r="O203" s="88">
        <f t="shared" si="25"/>
        <v>1539002</v>
      </c>
      <c r="P203" s="88">
        <v>0</v>
      </c>
      <c r="Q203" s="94">
        <f>L202/I203</f>
        <v>886.03287865646928</v>
      </c>
      <c r="R203" s="100">
        <v>6774</v>
      </c>
      <c r="S203" s="103">
        <v>42643</v>
      </c>
    </row>
    <row r="204" spans="1:19" s="1" customFormat="1" ht="31.5">
      <c r="A204" s="95">
        <f t="shared" si="16"/>
        <v>182</v>
      </c>
      <c r="B204" s="114" t="s">
        <v>292</v>
      </c>
      <c r="C204" s="105">
        <v>1917</v>
      </c>
      <c r="D204" s="105"/>
      <c r="E204" s="98" t="s">
        <v>143</v>
      </c>
      <c r="F204" s="106">
        <v>2</v>
      </c>
      <c r="G204" s="106">
        <v>1</v>
      </c>
      <c r="H204" s="89">
        <v>242.6</v>
      </c>
      <c r="I204" s="94">
        <v>242.6</v>
      </c>
      <c r="J204" s="94">
        <v>242.6</v>
      </c>
      <c r="K204" s="106">
        <v>9</v>
      </c>
      <c r="L204" s="88">
        <v>630935</v>
      </c>
      <c r="M204" s="88">
        <v>0</v>
      </c>
      <c r="N204" s="88">
        <v>0</v>
      </c>
      <c r="O204" s="88">
        <f t="shared" si="25"/>
        <v>630935</v>
      </c>
      <c r="P204" s="88">
        <v>0</v>
      </c>
      <c r="Q204" s="94">
        <f>L204/I204</f>
        <v>2600.7213520197856</v>
      </c>
      <c r="R204" s="100">
        <v>6774</v>
      </c>
      <c r="S204" s="103">
        <v>42643</v>
      </c>
    </row>
    <row r="205" spans="1:19" s="1" customFormat="1" ht="31.5">
      <c r="A205" s="95">
        <f t="shared" si="16"/>
        <v>183</v>
      </c>
      <c r="B205" s="114" t="s">
        <v>288</v>
      </c>
      <c r="C205" s="105">
        <v>1917</v>
      </c>
      <c r="D205" s="105"/>
      <c r="E205" s="98" t="s">
        <v>143</v>
      </c>
      <c r="F205" s="106">
        <v>2</v>
      </c>
      <c r="G205" s="106">
        <v>2</v>
      </c>
      <c r="H205" s="89">
        <v>347.1</v>
      </c>
      <c r="I205" s="94">
        <v>306.89999999999998</v>
      </c>
      <c r="J205" s="94">
        <v>213.3</v>
      </c>
      <c r="K205" s="106">
        <v>12</v>
      </c>
      <c r="L205" s="88">
        <v>514647</v>
      </c>
      <c r="M205" s="88">
        <v>0</v>
      </c>
      <c r="N205" s="88">
        <v>0</v>
      </c>
      <c r="O205" s="88">
        <f t="shared" si="25"/>
        <v>514647</v>
      </c>
      <c r="P205" s="88">
        <v>0</v>
      </c>
      <c r="Q205" s="94">
        <f>L205/I205</f>
        <v>1676.9208211143696</v>
      </c>
      <c r="R205" s="100">
        <v>6774</v>
      </c>
      <c r="S205" s="103">
        <v>42643</v>
      </c>
    </row>
    <row r="206" spans="1:19" s="1" customFormat="1" ht="31.5">
      <c r="A206" s="95">
        <f t="shared" si="16"/>
        <v>184</v>
      </c>
      <c r="B206" s="114" t="s">
        <v>290</v>
      </c>
      <c r="C206" s="105">
        <v>1949</v>
      </c>
      <c r="D206" s="105"/>
      <c r="E206" s="98" t="s">
        <v>143</v>
      </c>
      <c r="F206" s="106">
        <v>3</v>
      </c>
      <c r="G206" s="106">
        <v>3</v>
      </c>
      <c r="H206" s="89">
        <v>2081.1</v>
      </c>
      <c r="I206" s="94">
        <v>1851.9</v>
      </c>
      <c r="J206" s="94">
        <v>972.4</v>
      </c>
      <c r="K206" s="106">
        <v>21</v>
      </c>
      <c r="L206" s="88">
        <v>1326732</v>
      </c>
      <c r="M206" s="88">
        <v>0</v>
      </c>
      <c r="N206" s="88">
        <v>0</v>
      </c>
      <c r="O206" s="88">
        <f t="shared" si="25"/>
        <v>1326732</v>
      </c>
      <c r="P206" s="88">
        <v>0</v>
      </c>
      <c r="Q206" s="94">
        <f>L206/I206</f>
        <v>716.41665316701767</v>
      </c>
      <c r="R206" s="100">
        <v>6774</v>
      </c>
      <c r="S206" s="103">
        <v>42643</v>
      </c>
    </row>
    <row r="207" spans="1:19" s="1" customFormat="1" ht="31.5">
      <c r="A207" s="95">
        <f t="shared" si="16"/>
        <v>185</v>
      </c>
      <c r="B207" s="114" t="s">
        <v>291</v>
      </c>
      <c r="C207" s="105">
        <v>1952</v>
      </c>
      <c r="D207" s="105"/>
      <c r="E207" s="98" t="s">
        <v>143</v>
      </c>
      <c r="F207" s="106">
        <v>2</v>
      </c>
      <c r="G207" s="106">
        <v>2</v>
      </c>
      <c r="H207" s="89">
        <v>370.7</v>
      </c>
      <c r="I207" s="94">
        <v>370.7</v>
      </c>
      <c r="J207" s="94">
        <v>230.7</v>
      </c>
      <c r="K207" s="106">
        <v>12</v>
      </c>
      <c r="L207" s="88">
        <v>692463</v>
      </c>
      <c r="M207" s="88">
        <v>0</v>
      </c>
      <c r="N207" s="88">
        <v>0</v>
      </c>
      <c r="O207" s="88">
        <f t="shared" si="25"/>
        <v>692463</v>
      </c>
      <c r="P207" s="88">
        <v>0</v>
      </c>
      <c r="Q207" s="94">
        <f>L208/I207</f>
        <v>1302.2686808740223</v>
      </c>
      <c r="R207" s="100">
        <v>6774</v>
      </c>
      <c r="S207" s="103">
        <v>42643</v>
      </c>
    </row>
    <row r="208" spans="1:19" s="1" customFormat="1" ht="31.5">
      <c r="A208" s="95">
        <f t="shared" si="16"/>
        <v>186</v>
      </c>
      <c r="B208" s="114" t="s">
        <v>369</v>
      </c>
      <c r="C208" s="105">
        <v>1959</v>
      </c>
      <c r="D208" s="105"/>
      <c r="E208" s="98" t="s">
        <v>143</v>
      </c>
      <c r="F208" s="106">
        <v>2</v>
      </c>
      <c r="G208" s="106">
        <v>1</v>
      </c>
      <c r="H208" s="89">
        <v>248.7</v>
      </c>
      <c r="I208" s="94">
        <v>199.9</v>
      </c>
      <c r="J208" s="94">
        <v>199.9</v>
      </c>
      <c r="K208" s="106">
        <v>18</v>
      </c>
      <c r="L208" s="88">
        <v>482751</v>
      </c>
      <c r="M208" s="88">
        <v>0</v>
      </c>
      <c r="N208" s="88">
        <v>0</v>
      </c>
      <c r="O208" s="88">
        <f t="shared" si="25"/>
        <v>482751</v>
      </c>
      <c r="P208" s="88">
        <v>0</v>
      </c>
      <c r="Q208" s="94">
        <f t="shared" ref="Q208:Q224" si="26">L208/I208</f>
        <v>2414.96248124062</v>
      </c>
      <c r="R208" s="100">
        <v>6774</v>
      </c>
      <c r="S208" s="103">
        <v>42643</v>
      </c>
    </row>
    <row r="209" spans="1:19" s="1" customFormat="1" ht="31.5">
      <c r="A209" s="95">
        <f t="shared" si="16"/>
        <v>187</v>
      </c>
      <c r="B209" s="114" t="s">
        <v>283</v>
      </c>
      <c r="C209" s="105">
        <v>1973</v>
      </c>
      <c r="D209" s="105"/>
      <c r="E209" s="98" t="s">
        <v>143</v>
      </c>
      <c r="F209" s="106">
        <v>5</v>
      </c>
      <c r="G209" s="106">
        <v>4</v>
      </c>
      <c r="H209" s="89">
        <v>4235.3999999999996</v>
      </c>
      <c r="I209" s="94">
        <v>3325.1</v>
      </c>
      <c r="J209" s="94">
        <v>2529.1</v>
      </c>
      <c r="K209" s="106">
        <v>133</v>
      </c>
      <c r="L209" s="88">
        <v>1844392</v>
      </c>
      <c r="M209" s="88">
        <v>0</v>
      </c>
      <c r="N209" s="88">
        <v>0</v>
      </c>
      <c r="O209" s="88">
        <f t="shared" si="25"/>
        <v>1844392</v>
      </c>
      <c r="P209" s="88">
        <v>0</v>
      </c>
      <c r="Q209" s="94">
        <f t="shared" si="26"/>
        <v>554.68767856605814</v>
      </c>
      <c r="R209" s="100">
        <v>6774</v>
      </c>
      <c r="S209" s="103">
        <v>42643</v>
      </c>
    </row>
    <row r="210" spans="1:19" s="1" customFormat="1" ht="31.5">
      <c r="A210" s="95">
        <f t="shared" si="16"/>
        <v>188</v>
      </c>
      <c r="B210" s="114" t="s">
        <v>286</v>
      </c>
      <c r="C210" s="105">
        <v>1971</v>
      </c>
      <c r="D210" s="105"/>
      <c r="E210" s="98" t="s">
        <v>143</v>
      </c>
      <c r="F210" s="106">
        <v>5</v>
      </c>
      <c r="G210" s="106">
        <v>6</v>
      </c>
      <c r="H210" s="89">
        <v>6252.1</v>
      </c>
      <c r="I210" s="94">
        <v>4351.2</v>
      </c>
      <c r="J210" s="94">
        <v>4351.2</v>
      </c>
      <c r="K210" s="106">
        <v>229</v>
      </c>
      <c r="L210" s="88">
        <v>2466512</v>
      </c>
      <c r="M210" s="88">
        <v>0</v>
      </c>
      <c r="N210" s="88">
        <v>0</v>
      </c>
      <c r="O210" s="88">
        <f t="shared" si="25"/>
        <v>2466512</v>
      </c>
      <c r="P210" s="88">
        <v>0</v>
      </c>
      <c r="Q210" s="94">
        <f t="shared" si="26"/>
        <v>566.8578782864497</v>
      </c>
      <c r="R210" s="100">
        <v>6774</v>
      </c>
      <c r="S210" s="103">
        <v>42643</v>
      </c>
    </row>
    <row r="211" spans="1:19" s="1" customFormat="1" ht="31.5">
      <c r="A211" s="95">
        <f t="shared" si="16"/>
        <v>189</v>
      </c>
      <c r="B211" s="114" t="s">
        <v>372</v>
      </c>
      <c r="C211" s="105">
        <v>1961</v>
      </c>
      <c r="D211" s="105"/>
      <c r="E211" s="98" t="s">
        <v>143</v>
      </c>
      <c r="F211" s="106">
        <v>2</v>
      </c>
      <c r="G211" s="106">
        <v>2</v>
      </c>
      <c r="H211" s="89">
        <v>507.3</v>
      </c>
      <c r="I211" s="94">
        <v>457.8</v>
      </c>
      <c r="J211" s="94">
        <v>457.8</v>
      </c>
      <c r="K211" s="106">
        <v>26</v>
      </c>
      <c r="L211" s="88">
        <v>846403</v>
      </c>
      <c r="M211" s="88">
        <v>0</v>
      </c>
      <c r="N211" s="88">
        <v>0</v>
      </c>
      <c r="O211" s="88">
        <f t="shared" si="25"/>
        <v>846403</v>
      </c>
      <c r="P211" s="88">
        <v>0</v>
      </c>
      <c r="Q211" s="94">
        <f t="shared" si="26"/>
        <v>1848.8488422892092</v>
      </c>
      <c r="R211" s="100">
        <v>6774</v>
      </c>
      <c r="S211" s="103">
        <v>42643</v>
      </c>
    </row>
    <row r="212" spans="1:19" s="1" customFormat="1" ht="31.5">
      <c r="A212" s="95">
        <f t="shared" si="16"/>
        <v>190</v>
      </c>
      <c r="B212" s="114" t="s">
        <v>289</v>
      </c>
      <c r="C212" s="105">
        <v>1960</v>
      </c>
      <c r="D212" s="105"/>
      <c r="E212" s="98" t="s">
        <v>143</v>
      </c>
      <c r="F212" s="106">
        <v>3</v>
      </c>
      <c r="G212" s="106">
        <v>2</v>
      </c>
      <c r="H212" s="89">
        <v>1293.4000000000001</v>
      </c>
      <c r="I212" s="94">
        <v>966.7</v>
      </c>
      <c r="J212" s="94">
        <v>849.1</v>
      </c>
      <c r="K212" s="106">
        <v>34</v>
      </c>
      <c r="L212" s="88">
        <v>1089312</v>
      </c>
      <c r="M212" s="88">
        <v>0</v>
      </c>
      <c r="N212" s="88">
        <v>0</v>
      </c>
      <c r="O212" s="88">
        <f t="shared" si="25"/>
        <v>1089312</v>
      </c>
      <c r="P212" s="88">
        <v>0</v>
      </c>
      <c r="Q212" s="94">
        <f t="shared" si="26"/>
        <v>1126.8356263577118</v>
      </c>
      <c r="R212" s="100">
        <v>6774</v>
      </c>
      <c r="S212" s="103">
        <v>42643</v>
      </c>
    </row>
    <row r="213" spans="1:19" s="1" customFormat="1" ht="31.5">
      <c r="A213" s="95">
        <f t="shared" si="16"/>
        <v>191</v>
      </c>
      <c r="B213" s="114" t="s">
        <v>284</v>
      </c>
      <c r="C213" s="105">
        <v>1958</v>
      </c>
      <c r="D213" s="105"/>
      <c r="E213" s="98" t="s">
        <v>143</v>
      </c>
      <c r="F213" s="106">
        <v>2</v>
      </c>
      <c r="G213" s="106">
        <v>2</v>
      </c>
      <c r="H213" s="89">
        <v>804</v>
      </c>
      <c r="I213" s="94">
        <v>735.5</v>
      </c>
      <c r="J213" s="94">
        <v>735.5</v>
      </c>
      <c r="K213" s="106">
        <v>23</v>
      </c>
      <c r="L213" s="88">
        <v>1384957</v>
      </c>
      <c r="M213" s="88">
        <v>0</v>
      </c>
      <c r="N213" s="88">
        <v>0</v>
      </c>
      <c r="O213" s="88">
        <f t="shared" si="25"/>
        <v>1384957</v>
      </c>
      <c r="P213" s="88">
        <v>0</v>
      </c>
      <c r="Q213" s="94">
        <f t="shared" si="26"/>
        <v>1883.0142760027193</v>
      </c>
      <c r="R213" s="100">
        <v>6774</v>
      </c>
      <c r="S213" s="103">
        <v>42643</v>
      </c>
    </row>
    <row r="214" spans="1:19" s="1" customFormat="1" ht="31.5">
      <c r="A214" s="95">
        <f t="shared" ref="A214:A267" si="27">A213+1</f>
        <v>192</v>
      </c>
      <c r="B214" s="114" t="s">
        <v>282</v>
      </c>
      <c r="C214" s="105">
        <v>1958</v>
      </c>
      <c r="D214" s="105"/>
      <c r="E214" s="98" t="s">
        <v>143</v>
      </c>
      <c r="F214" s="106">
        <v>2</v>
      </c>
      <c r="G214" s="106">
        <v>2</v>
      </c>
      <c r="H214" s="89">
        <v>515.20000000000005</v>
      </c>
      <c r="I214" s="94">
        <v>468.6</v>
      </c>
      <c r="J214" s="94">
        <v>468.6</v>
      </c>
      <c r="K214" s="106">
        <v>22</v>
      </c>
      <c r="L214" s="88">
        <v>862684</v>
      </c>
      <c r="M214" s="88">
        <v>0</v>
      </c>
      <c r="N214" s="88">
        <v>0</v>
      </c>
      <c r="O214" s="88">
        <f t="shared" si="25"/>
        <v>862684</v>
      </c>
      <c r="P214" s="88">
        <v>0</v>
      </c>
      <c r="Q214" s="94">
        <f t="shared" si="26"/>
        <v>1840.9816474605207</v>
      </c>
      <c r="R214" s="100">
        <v>6774</v>
      </c>
      <c r="S214" s="103">
        <v>42643</v>
      </c>
    </row>
    <row r="215" spans="1:19" s="1" customFormat="1" ht="31.5">
      <c r="A215" s="95">
        <f t="shared" si="27"/>
        <v>193</v>
      </c>
      <c r="B215" s="114" t="s">
        <v>287</v>
      </c>
      <c r="C215" s="105">
        <v>1964</v>
      </c>
      <c r="D215" s="105"/>
      <c r="E215" s="98" t="s">
        <v>143</v>
      </c>
      <c r="F215" s="106">
        <v>4</v>
      </c>
      <c r="G215" s="106">
        <v>4</v>
      </c>
      <c r="H215" s="89">
        <v>3290.1</v>
      </c>
      <c r="I215" s="94">
        <v>3144.8999999999996</v>
      </c>
      <c r="J215" s="94">
        <v>1518.6</v>
      </c>
      <c r="K215" s="106">
        <v>46</v>
      </c>
      <c r="L215" s="88">
        <v>1805441</v>
      </c>
      <c r="M215" s="88">
        <v>0</v>
      </c>
      <c r="N215" s="88">
        <v>0</v>
      </c>
      <c r="O215" s="88">
        <f t="shared" si="25"/>
        <v>1805441</v>
      </c>
      <c r="P215" s="88">
        <v>0</v>
      </c>
      <c r="Q215" s="94">
        <f t="shared" si="26"/>
        <v>574.08534452605818</v>
      </c>
      <c r="R215" s="100">
        <v>6774</v>
      </c>
      <c r="S215" s="103">
        <v>42643</v>
      </c>
    </row>
    <row r="216" spans="1:19" s="1" customFormat="1" ht="31.5">
      <c r="A216" s="95">
        <f t="shared" si="27"/>
        <v>194</v>
      </c>
      <c r="B216" s="114" t="s">
        <v>285</v>
      </c>
      <c r="C216" s="105">
        <v>1975</v>
      </c>
      <c r="D216" s="105"/>
      <c r="E216" s="98" t="s">
        <v>143</v>
      </c>
      <c r="F216" s="106">
        <v>5</v>
      </c>
      <c r="G216" s="106">
        <v>5</v>
      </c>
      <c r="H216" s="89">
        <v>4492.4000000000005</v>
      </c>
      <c r="I216" s="94">
        <v>4085.8</v>
      </c>
      <c r="J216" s="94">
        <v>3722.3</v>
      </c>
      <c r="K216" s="106">
        <v>121</v>
      </c>
      <c r="L216" s="88">
        <v>2569192</v>
      </c>
      <c r="M216" s="88">
        <v>0</v>
      </c>
      <c r="N216" s="88">
        <v>0</v>
      </c>
      <c r="O216" s="88">
        <f t="shared" si="25"/>
        <v>2569192</v>
      </c>
      <c r="P216" s="88">
        <v>0</v>
      </c>
      <c r="Q216" s="94">
        <f t="shared" si="26"/>
        <v>628.81002496451117</v>
      </c>
      <c r="R216" s="100">
        <v>6774</v>
      </c>
      <c r="S216" s="103">
        <v>42643</v>
      </c>
    </row>
    <row r="217" spans="1:19" s="1" customFormat="1" ht="15.75">
      <c r="A217" s="95">
        <f t="shared" si="27"/>
        <v>195</v>
      </c>
      <c r="B217" s="114" t="s">
        <v>293</v>
      </c>
      <c r="C217" s="105">
        <v>1978</v>
      </c>
      <c r="D217" s="105"/>
      <c r="E217" s="98" t="s">
        <v>144</v>
      </c>
      <c r="F217" s="106">
        <v>5</v>
      </c>
      <c r="G217" s="106">
        <v>6</v>
      </c>
      <c r="H217" s="89">
        <v>4403</v>
      </c>
      <c r="I217" s="94">
        <v>3956.1</v>
      </c>
      <c r="J217" s="94">
        <v>3956.1</v>
      </c>
      <c r="K217" s="106">
        <v>170</v>
      </c>
      <c r="L217" s="88">
        <v>2371564</v>
      </c>
      <c r="M217" s="88">
        <v>0</v>
      </c>
      <c r="N217" s="88">
        <v>0</v>
      </c>
      <c r="O217" s="88">
        <f t="shared" si="25"/>
        <v>2371564</v>
      </c>
      <c r="P217" s="88">
        <v>0</v>
      </c>
      <c r="Q217" s="94">
        <f t="shared" si="26"/>
        <v>599.47018528348633</v>
      </c>
      <c r="R217" s="100">
        <v>6774</v>
      </c>
      <c r="S217" s="103">
        <v>42643</v>
      </c>
    </row>
    <row r="218" spans="1:19" s="1" customFormat="1" ht="31.5">
      <c r="A218" s="95">
        <f t="shared" si="27"/>
        <v>196</v>
      </c>
      <c r="B218" s="114" t="s">
        <v>371</v>
      </c>
      <c r="C218" s="105">
        <v>1956</v>
      </c>
      <c r="D218" s="105"/>
      <c r="E218" s="98" t="s">
        <v>143</v>
      </c>
      <c r="F218" s="106">
        <v>2</v>
      </c>
      <c r="G218" s="106">
        <v>2</v>
      </c>
      <c r="H218" s="89">
        <v>1147.5</v>
      </c>
      <c r="I218" s="94">
        <v>1088.5999999999999</v>
      </c>
      <c r="J218" s="94">
        <v>378.2</v>
      </c>
      <c r="K218" s="106">
        <v>28</v>
      </c>
      <c r="L218" s="88">
        <v>1225786</v>
      </c>
      <c r="M218" s="88">
        <v>0</v>
      </c>
      <c r="N218" s="88">
        <v>0</v>
      </c>
      <c r="O218" s="88">
        <f t="shared" si="25"/>
        <v>1225786</v>
      </c>
      <c r="P218" s="88">
        <v>0</v>
      </c>
      <c r="Q218" s="94">
        <f t="shared" si="26"/>
        <v>1126.0205768877458</v>
      </c>
      <c r="R218" s="100">
        <v>6774</v>
      </c>
      <c r="S218" s="103">
        <v>42643</v>
      </c>
    </row>
    <row r="219" spans="1:19" s="1" customFormat="1" ht="31.5">
      <c r="A219" s="95">
        <f t="shared" si="27"/>
        <v>197</v>
      </c>
      <c r="B219" s="114" t="s">
        <v>295</v>
      </c>
      <c r="C219" s="105">
        <v>1959</v>
      </c>
      <c r="D219" s="105"/>
      <c r="E219" s="98" t="s">
        <v>143</v>
      </c>
      <c r="F219" s="106">
        <v>4</v>
      </c>
      <c r="G219" s="106">
        <v>4</v>
      </c>
      <c r="H219" s="89">
        <v>3445</v>
      </c>
      <c r="I219" s="94">
        <v>2645.4</v>
      </c>
      <c r="J219" s="94">
        <v>1889.2</v>
      </c>
      <c r="K219" s="106">
        <v>86</v>
      </c>
      <c r="L219" s="88">
        <v>2457266</v>
      </c>
      <c r="M219" s="88">
        <v>0</v>
      </c>
      <c r="N219" s="88">
        <v>0</v>
      </c>
      <c r="O219" s="88">
        <f t="shared" si="25"/>
        <v>2457266</v>
      </c>
      <c r="P219" s="88">
        <v>0</v>
      </c>
      <c r="Q219" s="94">
        <f t="shared" si="26"/>
        <v>928.88258864443935</v>
      </c>
      <c r="R219" s="100">
        <v>6774</v>
      </c>
      <c r="S219" s="103">
        <v>42643</v>
      </c>
    </row>
    <row r="220" spans="1:19" s="1" customFormat="1" ht="15.75">
      <c r="A220" s="95">
        <f t="shared" si="27"/>
        <v>198</v>
      </c>
      <c r="B220" s="114" t="s">
        <v>299</v>
      </c>
      <c r="C220" s="105">
        <v>1966</v>
      </c>
      <c r="D220" s="105"/>
      <c r="E220" s="98" t="s">
        <v>145</v>
      </c>
      <c r="F220" s="106">
        <v>5</v>
      </c>
      <c r="G220" s="106">
        <v>3</v>
      </c>
      <c r="H220" s="89">
        <v>3322.6</v>
      </c>
      <c r="I220" s="94">
        <v>2607.1</v>
      </c>
      <c r="J220" s="94">
        <v>2037.1</v>
      </c>
      <c r="K220" s="106">
        <v>97</v>
      </c>
      <c r="L220" s="88">
        <v>1578182</v>
      </c>
      <c r="M220" s="88">
        <v>0</v>
      </c>
      <c r="N220" s="88">
        <v>0</v>
      </c>
      <c r="O220" s="88">
        <f t="shared" si="25"/>
        <v>1578182</v>
      </c>
      <c r="P220" s="88">
        <v>0</v>
      </c>
      <c r="Q220" s="94">
        <f t="shared" si="26"/>
        <v>605.34003298684365</v>
      </c>
      <c r="R220" s="100">
        <v>6774</v>
      </c>
      <c r="S220" s="103">
        <v>42643</v>
      </c>
    </row>
    <row r="221" spans="1:19" s="1" customFormat="1" ht="31.5">
      <c r="A221" s="95">
        <f t="shared" si="27"/>
        <v>199</v>
      </c>
      <c r="B221" s="114" t="s">
        <v>294</v>
      </c>
      <c r="C221" s="105">
        <v>1952</v>
      </c>
      <c r="D221" s="105"/>
      <c r="E221" s="98" t="s">
        <v>143</v>
      </c>
      <c r="F221" s="106">
        <v>3</v>
      </c>
      <c r="G221" s="106">
        <v>4</v>
      </c>
      <c r="H221" s="89">
        <v>2375</v>
      </c>
      <c r="I221" s="94">
        <v>2169.3000000000002</v>
      </c>
      <c r="J221" s="94">
        <v>2169.3000000000002</v>
      </c>
      <c r="K221" s="106">
        <v>55</v>
      </c>
      <c r="L221" s="88">
        <v>2541531</v>
      </c>
      <c r="M221" s="88">
        <v>0</v>
      </c>
      <c r="N221" s="88">
        <v>0</v>
      </c>
      <c r="O221" s="88">
        <f t="shared" si="25"/>
        <v>2541531</v>
      </c>
      <c r="P221" s="88">
        <v>0</v>
      </c>
      <c r="Q221" s="94">
        <f t="shared" si="26"/>
        <v>1171.5903747752729</v>
      </c>
      <c r="R221" s="100">
        <v>6774</v>
      </c>
      <c r="S221" s="103">
        <v>42643</v>
      </c>
    </row>
    <row r="222" spans="1:19" s="1" customFormat="1" ht="15.75">
      <c r="A222" s="95">
        <f t="shared" si="27"/>
        <v>200</v>
      </c>
      <c r="B222" s="114" t="s">
        <v>298</v>
      </c>
      <c r="C222" s="105">
        <v>1983</v>
      </c>
      <c r="D222" s="105"/>
      <c r="E222" s="98" t="s">
        <v>144</v>
      </c>
      <c r="F222" s="106">
        <v>5</v>
      </c>
      <c r="G222" s="106">
        <v>5</v>
      </c>
      <c r="H222" s="89">
        <v>3972.7</v>
      </c>
      <c r="I222" s="94">
        <v>3484.2</v>
      </c>
      <c r="J222" s="94">
        <v>3484.2</v>
      </c>
      <c r="K222" s="106">
        <v>182</v>
      </c>
      <c r="L222" s="88">
        <v>1857292</v>
      </c>
      <c r="M222" s="88">
        <v>0</v>
      </c>
      <c r="N222" s="88">
        <v>0</v>
      </c>
      <c r="O222" s="88">
        <f t="shared" si="25"/>
        <v>1857292</v>
      </c>
      <c r="P222" s="88">
        <v>0</v>
      </c>
      <c r="Q222" s="94">
        <f t="shared" si="26"/>
        <v>533.06124791917807</v>
      </c>
      <c r="R222" s="100">
        <v>6774</v>
      </c>
      <c r="S222" s="103">
        <v>42643</v>
      </c>
    </row>
    <row r="223" spans="1:19" s="1" customFormat="1" ht="31.5">
      <c r="A223" s="95">
        <f t="shared" si="27"/>
        <v>201</v>
      </c>
      <c r="B223" s="114" t="s">
        <v>296</v>
      </c>
      <c r="C223" s="105">
        <v>1958</v>
      </c>
      <c r="D223" s="105"/>
      <c r="E223" s="98" t="s">
        <v>143</v>
      </c>
      <c r="F223" s="106">
        <v>2</v>
      </c>
      <c r="G223" s="106">
        <v>2</v>
      </c>
      <c r="H223" s="89">
        <v>445</v>
      </c>
      <c r="I223" s="94">
        <v>445</v>
      </c>
      <c r="J223" s="94">
        <v>445</v>
      </c>
      <c r="K223" s="106">
        <v>20</v>
      </c>
      <c r="L223" s="88">
        <v>876681</v>
      </c>
      <c r="M223" s="88">
        <v>0</v>
      </c>
      <c r="N223" s="88">
        <v>0</v>
      </c>
      <c r="O223" s="88">
        <f t="shared" si="25"/>
        <v>876681</v>
      </c>
      <c r="P223" s="88">
        <v>0</v>
      </c>
      <c r="Q223" s="94">
        <f t="shared" si="26"/>
        <v>1970.0696629213483</v>
      </c>
      <c r="R223" s="100">
        <v>6774</v>
      </c>
      <c r="S223" s="103">
        <v>42643</v>
      </c>
    </row>
    <row r="224" spans="1:19" s="1" customFormat="1" ht="31.5">
      <c r="A224" s="95">
        <f t="shared" si="27"/>
        <v>202</v>
      </c>
      <c r="B224" s="114" t="s">
        <v>281</v>
      </c>
      <c r="C224" s="105">
        <v>1971</v>
      </c>
      <c r="D224" s="105"/>
      <c r="E224" s="98" t="s">
        <v>143</v>
      </c>
      <c r="F224" s="106">
        <v>5</v>
      </c>
      <c r="G224" s="106">
        <v>4</v>
      </c>
      <c r="H224" s="89">
        <v>4231.5</v>
      </c>
      <c r="I224" s="94">
        <v>3478.7999999999997</v>
      </c>
      <c r="J224" s="94">
        <v>3084.6</v>
      </c>
      <c r="K224" s="106">
        <v>64</v>
      </c>
      <c r="L224" s="88">
        <v>2998309</v>
      </c>
      <c r="M224" s="88">
        <v>0</v>
      </c>
      <c r="N224" s="88">
        <v>0</v>
      </c>
      <c r="O224" s="88">
        <f t="shared" si="25"/>
        <v>2998309</v>
      </c>
      <c r="P224" s="88">
        <v>0</v>
      </c>
      <c r="Q224" s="94">
        <f t="shared" si="26"/>
        <v>861.88024606186048</v>
      </c>
      <c r="R224" s="100">
        <v>6774</v>
      </c>
      <c r="S224" s="103">
        <v>42643</v>
      </c>
    </row>
    <row r="225" spans="1:19" s="1" customFormat="1" ht="15.75">
      <c r="A225" s="95"/>
      <c r="B225" s="300" t="s">
        <v>610</v>
      </c>
      <c r="C225" s="300"/>
      <c r="D225" s="300"/>
      <c r="E225" s="300"/>
      <c r="F225" s="300"/>
      <c r="G225" s="300"/>
      <c r="H225" s="94">
        <f>SUM(H226:H237)</f>
        <v>40346.160000000003</v>
      </c>
      <c r="I225" s="94">
        <f t="shared" ref="I225:P225" si="28">SUM(I226:I237)</f>
        <v>36354.959999999999</v>
      </c>
      <c r="J225" s="94">
        <f t="shared" si="28"/>
        <v>33840.360000000008</v>
      </c>
      <c r="K225" s="106">
        <f t="shared" si="28"/>
        <v>1361</v>
      </c>
      <c r="L225" s="88">
        <f t="shared" si="28"/>
        <v>24292048</v>
      </c>
      <c r="M225" s="88">
        <f t="shared" si="28"/>
        <v>0</v>
      </c>
      <c r="N225" s="88">
        <f t="shared" si="28"/>
        <v>0</v>
      </c>
      <c r="O225" s="88">
        <f t="shared" si="28"/>
        <v>24292048</v>
      </c>
      <c r="P225" s="88">
        <f t="shared" si="28"/>
        <v>0</v>
      </c>
      <c r="Q225" s="94" t="s">
        <v>40</v>
      </c>
      <c r="R225" s="94" t="s">
        <v>40</v>
      </c>
      <c r="S225" s="94" t="s">
        <v>40</v>
      </c>
    </row>
    <row r="226" spans="1:19" s="43" customFormat="1" ht="31.5">
      <c r="A226" s="95">
        <f>A224+1</f>
        <v>203</v>
      </c>
      <c r="B226" s="113" t="s">
        <v>379</v>
      </c>
      <c r="C226" s="85">
        <v>1963</v>
      </c>
      <c r="D226" s="85"/>
      <c r="E226" s="98" t="s">
        <v>143</v>
      </c>
      <c r="F226" s="90">
        <v>4</v>
      </c>
      <c r="G226" s="90">
        <v>4</v>
      </c>
      <c r="H226" s="89">
        <v>2686.9</v>
      </c>
      <c r="I226" s="89">
        <v>2453.4</v>
      </c>
      <c r="J226" s="89">
        <v>2425.1999999999998</v>
      </c>
      <c r="K226" s="87">
        <v>100</v>
      </c>
      <c r="L226" s="88">
        <v>2328466</v>
      </c>
      <c r="M226" s="88">
        <v>0</v>
      </c>
      <c r="N226" s="88">
        <v>0</v>
      </c>
      <c r="O226" s="88">
        <f t="shared" ref="O226:O237" si="29">L226</f>
        <v>2328466</v>
      </c>
      <c r="P226" s="88">
        <v>0</v>
      </c>
      <c r="Q226" s="115">
        <f t="shared" ref="Q226:Q237" si="30">L226/I226</f>
        <v>949.07719898915786</v>
      </c>
      <c r="R226" s="100">
        <v>6774</v>
      </c>
      <c r="S226" s="103">
        <v>42735</v>
      </c>
    </row>
    <row r="227" spans="1:19" s="1" customFormat="1" ht="31.5">
      <c r="A227" s="95">
        <f t="shared" si="27"/>
        <v>204</v>
      </c>
      <c r="B227" s="113" t="s">
        <v>383</v>
      </c>
      <c r="C227" s="85">
        <v>1960</v>
      </c>
      <c r="D227" s="85"/>
      <c r="E227" s="98" t="s">
        <v>143</v>
      </c>
      <c r="F227" s="90">
        <v>3</v>
      </c>
      <c r="G227" s="90">
        <v>3</v>
      </c>
      <c r="H227" s="89">
        <v>1735.3</v>
      </c>
      <c r="I227" s="89">
        <v>1516.6</v>
      </c>
      <c r="J227" s="89">
        <v>1361.6</v>
      </c>
      <c r="K227" s="87">
        <v>70</v>
      </c>
      <c r="L227" s="88">
        <v>1792229</v>
      </c>
      <c r="M227" s="88">
        <v>0</v>
      </c>
      <c r="N227" s="88">
        <v>0</v>
      </c>
      <c r="O227" s="88">
        <f t="shared" si="29"/>
        <v>1792229</v>
      </c>
      <c r="P227" s="88">
        <v>0</v>
      </c>
      <c r="Q227" s="115">
        <f t="shared" si="30"/>
        <v>1181.7413952261638</v>
      </c>
      <c r="R227" s="100">
        <v>6774</v>
      </c>
      <c r="S227" s="103">
        <v>42735</v>
      </c>
    </row>
    <row r="228" spans="1:19" s="1" customFormat="1" ht="31.5">
      <c r="A228" s="95">
        <f t="shared" si="27"/>
        <v>205</v>
      </c>
      <c r="B228" s="113" t="s">
        <v>109</v>
      </c>
      <c r="C228" s="85">
        <v>1969</v>
      </c>
      <c r="D228" s="85"/>
      <c r="E228" s="98" t="s">
        <v>143</v>
      </c>
      <c r="F228" s="90">
        <v>5</v>
      </c>
      <c r="G228" s="90">
        <v>4</v>
      </c>
      <c r="H228" s="89">
        <v>3440.1</v>
      </c>
      <c r="I228" s="89">
        <v>3182.2</v>
      </c>
      <c r="J228" s="89">
        <v>2326.6999999999998</v>
      </c>
      <c r="K228" s="87">
        <v>110</v>
      </c>
      <c r="L228" s="88">
        <v>1922412</v>
      </c>
      <c r="M228" s="88">
        <v>0</v>
      </c>
      <c r="N228" s="88">
        <v>0</v>
      </c>
      <c r="O228" s="88">
        <f t="shared" si="29"/>
        <v>1922412</v>
      </c>
      <c r="P228" s="88">
        <v>0</v>
      </c>
      <c r="Q228" s="115">
        <f t="shared" si="30"/>
        <v>604.11413487524362</v>
      </c>
      <c r="R228" s="100">
        <v>6774</v>
      </c>
      <c r="S228" s="103">
        <v>42735</v>
      </c>
    </row>
    <row r="229" spans="1:19" s="1" customFormat="1" ht="15.75">
      <c r="A229" s="95">
        <f t="shared" si="27"/>
        <v>206</v>
      </c>
      <c r="B229" s="113" t="s">
        <v>384</v>
      </c>
      <c r="C229" s="85">
        <v>1976</v>
      </c>
      <c r="D229" s="85"/>
      <c r="E229" s="98" t="s">
        <v>144</v>
      </c>
      <c r="F229" s="90">
        <v>5</v>
      </c>
      <c r="G229" s="90">
        <v>4</v>
      </c>
      <c r="H229" s="89">
        <v>3317.7</v>
      </c>
      <c r="I229" s="89">
        <v>3041.2</v>
      </c>
      <c r="J229" s="89">
        <v>2941.4</v>
      </c>
      <c r="K229" s="87">
        <v>96</v>
      </c>
      <c r="L229" s="88">
        <v>1606151</v>
      </c>
      <c r="M229" s="88">
        <v>0</v>
      </c>
      <c r="N229" s="88">
        <v>0</v>
      </c>
      <c r="O229" s="88">
        <f t="shared" si="29"/>
        <v>1606151</v>
      </c>
      <c r="P229" s="88">
        <v>0</v>
      </c>
      <c r="Q229" s="115">
        <f t="shared" si="30"/>
        <v>528.13067210311726</v>
      </c>
      <c r="R229" s="100">
        <v>6774</v>
      </c>
      <c r="S229" s="103">
        <v>42735</v>
      </c>
    </row>
    <row r="230" spans="1:19" s="1" customFormat="1" ht="15.75">
      <c r="A230" s="95">
        <f t="shared" si="27"/>
        <v>207</v>
      </c>
      <c r="B230" s="113" t="s">
        <v>382</v>
      </c>
      <c r="C230" s="85">
        <v>1968</v>
      </c>
      <c r="D230" s="85"/>
      <c r="E230" s="98" t="s">
        <v>144</v>
      </c>
      <c r="F230" s="90">
        <v>5</v>
      </c>
      <c r="G230" s="90">
        <v>8</v>
      </c>
      <c r="H230" s="89">
        <v>6772.5</v>
      </c>
      <c r="I230" s="89">
        <v>5764.5</v>
      </c>
      <c r="J230" s="89">
        <v>5595.3</v>
      </c>
      <c r="K230" s="87">
        <v>196</v>
      </c>
      <c r="L230" s="88">
        <v>3061942</v>
      </c>
      <c r="M230" s="88">
        <v>0</v>
      </c>
      <c r="N230" s="88">
        <v>0</v>
      </c>
      <c r="O230" s="88">
        <f t="shared" si="29"/>
        <v>3061942</v>
      </c>
      <c r="P230" s="88">
        <v>0</v>
      </c>
      <c r="Q230" s="115">
        <f t="shared" si="30"/>
        <v>531.17217451643683</v>
      </c>
      <c r="R230" s="100">
        <v>6774</v>
      </c>
      <c r="S230" s="103">
        <v>42735</v>
      </c>
    </row>
    <row r="231" spans="1:19" s="6" customFormat="1" ht="31.5">
      <c r="A231" s="95">
        <f t="shared" si="27"/>
        <v>208</v>
      </c>
      <c r="B231" s="116" t="s">
        <v>122</v>
      </c>
      <c r="C231" s="85">
        <v>1973</v>
      </c>
      <c r="D231" s="85"/>
      <c r="E231" s="98" t="s">
        <v>143</v>
      </c>
      <c r="F231" s="90">
        <v>5</v>
      </c>
      <c r="G231" s="90">
        <v>4</v>
      </c>
      <c r="H231" s="89">
        <v>4763</v>
      </c>
      <c r="I231" s="89">
        <v>4229.3</v>
      </c>
      <c r="J231" s="89">
        <v>4048.2</v>
      </c>
      <c r="K231" s="87">
        <v>161</v>
      </c>
      <c r="L231" s="88">
        <v>4000843</v>
      </c>
      <c r="M231" s="88">
        <v>0</v>
      </c>
      <c r="N231" s="88">
        <v>0</v>
      </c>
      <c r="O231" s="88">
        <f t="shared" si="29"/>
        <v>4000843</v>
      </c>
      <c r="P231" s="88">
        <v>0</v>
      </c>
      <c r="Q231" s="115">
        <f t="shared" si="30"/>
        <v>945.98231385808526</v>
      </c>
      <c r="R231" s="100">
        <v>6774</v>
      </c>
      <c r="S231" s="103">
        <v>42735</v>
      </c>
    </row>
    <row r="232" spans="1:19" s="6" customFormat="1" ht="31.5">
      <c r="A232" s="95">
        <f t="shared" si="27"/>
        <v>209</v>
      </c>
      <c r="B232" s="113" t="s">
        <v>380</v>
      </c>
      <c r="C232" s="85">
        <v>1965</v>
      </c>
      <c r="D232" s="85"/>
      <c r="E232" s="98" t="s">
        <v>143</v>
      </c>
      <c r="F232" s="90">
        <v>5</v>
      </c>
      <c r="G232" s="90">
        <v>2</v>
      </c>
      <c r="H232" s="89">
        <v>2078.6999999999998</v>
      </c>
      <c r="I232" s="89">
        <v>1782.9</v>
      </c>
      <c r="J232" s="89">
        <v>1782.9</v>
      </c>
      <c r="K232" s="87">
        <v>60</v>
      </c>
      <c r="L232" s="88">
        <v>1122235</v>
      </c>
      <c r="M232" s="88">
        <v>0</v>
      </c>
      <c r="N232" s="88">
        <v>0</v>
      </c>
      <c r="O232" s="88">
        <f t="shared" si="29"/>
        <v>1122235</v>
      </c>
      <c r="P232" s="88">
        <v>0</v>
      </c>
      <c r="Q232" s="115">
        <f t="shared" si="30"/>
        <v>629.44360311851472</v>
      </c>
      <c r="R232" s="100">
        <v>6774</v>
      </c>
      <c r="S232" s="103">
        <v>42735</v>
      </c>
    </row>
    <row r="233" spans="1:19" s="44" customFormat="1" ht="31.5">
      <c r="A233" s="95">
        <f t="shared" si="27"/>
        <v>210</v>
      </c>
      <c r="B233" s="113" t="s">
        <v>381</v>
      </c>
      <c r="C233" s="85">
        <v>1974</v>
      </c>
      <c r="D233" s="85"/>
      <c r="E233" s="98" t="s">
        <v>143</v>
      </c>
      <c r="F233" s="90">
        <v>5</v>
      </c>
      <c r="G233" s="90">
        <v>2</v>
      </c>
      <c r="H233" s="89">
        <v>1953.4</v>
      </c>
      <c r="I233" s="89">
        <v>1803.7</v>
      </c>
      <c r="J233" s="89">
        <v>1415.2</v>
      </c>
      <c r="K233" s="87">
        <v>67</v>
      </c>
      <c r="L233" s="88">
        <v>1073508</v>
      </c>
      <c r="M233" s="88">
        <v>0</v>
      </c>
      <c r="N233" s="88">
        <v>0</v>
      </c>
      <c r="O233" s="88">
        <f t="shared" si="29"/>
        <v>1073508</v>
      </c>
      <c r="P233" s="88">
        <v>0</v>
      </c>
      <c r="Q233" s="115">
        <f t="shared" si="30"/>
        <v>595.1699284803459</v>
      </c>
      <c r="R233" s="100">
        <v>6774</v>
      </c>
      <c r="S233" s="103">
        <v>42735</v>
      </c>
    </row>
    <row r="234" spans="1:19" s="45" customFormat="1" ht="31.5">
      <c r="A234" s="95">
        <f t="shared" si="27"/>
        <v>211</v>
      </c>
      <c r="B234" s="116" t="s">
        <v>376</v>
      </c>
      <c r="C234" s="85">
        <v>1976</v>
      </c>
      <c r="D234" s="85"/>
      <c r="E234" s="98" t="s">
        <v>143</v>
      </c>
      <c r="F234" s="90">
        <v>5</v>
      </c>
      <c r="G234" s="90">
        <v>5</v>
      </c>
      <c r="H234" s="89">
        <v>3048</v>
      </c>
      <c r="I234" s="89">
        <v>2772.4</v>
      </c>
      <c r="J234" s="89">
        <v>2772.4</v>
      </c>
      <c r="K234" s="87">
        <v>110</v>
      </c>
      <c r="L234" s="88">
        <v>1675276</v>
      </c>
      <c r="M234" s="88">
        <v>0</v>
      </c>
      <c r="N234" s="88">
        <v>0</v>
      </c>
      <c r="O234" s="88">
        <f t="shared" si="29"/>
        <v>1675276</v>
      </c>
      <c r="P234" s="88">
        <v>0</v>
      </c>
      <c r="Q234" s="115">
        <f t="shared" si="30"/>
        <v>604.26922522002599</v>
      </c>
      <c r="R234" s="100">
        <v>6774</v>
      </c>
      <c r="S234" s="103">
        <v>42735</v>
      </c>
    </row>
    <row r="235" spans="1:19" s="45" customFormat="1" ht="31.5">
      <c r="A235" s="95">
        <f t="shared" si="27"/>
        <v>212</v>
      </c>
      <c r="B235" s="113" t="s">
        <v>377</v>
      </c>
      <c r="C235" s="85">
        <v>1966</v>
      </c>
      <c r="D235" s="85"/>
      <c r="E235" s="98" t="s">
        <v>143</v>
      </c>
      <c r="F235" s="90">
        <v>5</v>
      </c>
      <c r="G235" s="90">
        <v>4</v>
      </c>
      <c r="H235" s="89">
        <v>3306.1</v>
      </c>
      <c r="I235" s="89">
        <v>3109</v>
      </c>
      <c r="J235" s="89">
        <v>2844.2</v>
      </c>
      <c r="K235" s="87">
        <v>112</v>
      </c>
      <c r="L235" s="88">
        <v>1898883</v>
      </c>
      <c r="M235" s="88">
        <v>0</v>
      </c>
      <c r="N235" s="88">
        <v>0</v>
      </c>
      <c r="O235" s="88">
        <f t="shared" si="29"/>
        <v>1898883</v>
      </c>
      <c r="P235" s="88">
        <v>0</v>
      </c>
      <c r="Q235" s="115">
        <f t="shared" si="30"/>
        <v>610.76970086844642</v>
      </c>
      <c r="R235" s="100">
        <v>6774</v>
      </c>
      <c r="S235" s="103">
        <v>42735</v>
      </c>
    </row>
    <row r="236" spans="1:19" s="45" customFormat="1" ht="15.75">
      <c r="A236" s="95">
        <f t="shared" si="27"/>
        <v>213</v>
      </c>
      <c r="B236" s="113" t="s">
        <v>375</v>
      </c>
      <c r="C236" s="85">
        <v>1975</v>
      </c>
      <c r="D236" s="85"/>
      <c r="E236" s="98" t="s">
        <v>144</v>
      </c>
      <c r="F236" s="90">
        <v>5</v>
      </c>
      <c r="G236" s="90">
        <v>4</v>
      </c>
      <c r="H236" s="89">
        <v>3673.16</v>
      </c>
      <c r="I236" s="89">
        <v>3398.16</v>
      </c>
      <c r="J236" s="89">
        <v>3025.66</v>
      </c>
      <c r="K236" s="87">
        <v>147</v>
      </c>
      <c r="L236" s="88">
        <v>1875716</v>
      </c>
      <c r="M236" s="88">
        <v>0</v>
      </c>
      <c r="N236" s="88">
        <v>0</v>
      </c>
      <c r="O236" s="88">
        <f t="shared" si="29"/>
        <v>1875716</v>
      </c>
      <c r="P236" s="88">
        <v>0</v>
      </c>
      <c r="Q236" s="115">
        <f t="shared" si="30"/>
        <v>551.97989500200106</v>
      </c>
      <c r="R236" s="100">
        <v>6774</v>
      </c>
      <c r="S236" s="103">
        <v>42735</v>
      </c>
    </row>
    <row r="237" spans="1:19" s="45" customFormat="1" ht="31.5">
      <c r="A237" s="95">
        <f t="shared" si="27"/>
        <v>214</v>
      </c>
      <c r="B237" s="116" t="s">
        <v>378</v>
      </c>
      <c r="C237" s="85">
        <v>1973</v>
      </c>
      <c r="D237" s="85"/>
      <c r="E237" s="98" t="s">
        <v>143</v>
      </c>
      <c r="F237" s="90">
        <v>5</v>
      </c>
      <c r="G237" s="90">
        <v>5</v>
      </c>
      <c r="H237" s="89">
        <v>3571.3</v>
      </c>
      <c r="I237" s="89">
        <v>3301.6</v>
      </c>
      <c r="J237" s="89">
        <v>3301.6</v>
      </c>
      <c r="K237" s="87">
        <v>132</v>
      </c>
      <c r="L237" s="88">
        <v>1934387</v>
      </c>
      <c r="M237" s="88">
        <v>0</v>
      </c>
      <c r="N237" s="88">
        <v>0</v>
      </c>
      <c r="O237" s="88">
        <f t="shared" si="29"/>
        <v>1934387</v>
      </c>
      <c r="P237" s="88">
        <v>0</v>
      </c>
      <c r="Q237" s="115">
        <f t="shared" si="30"/>
        <v>585.89380906227291</v>
      </c>
      <c r="R237" s="100">
        <v>6774</v>
      </c>
      <c r="S237" s="103">
        <v>42735</v>
      </c>
    </row>
    <row r="238" spans="1:19" s="1" customFormat="1" ht="15.75">
      <c r="A238" s="95"/>
      <c r="B238" s="300" t="s">
        <v>611</v>
      </c>
      <c r="C238" s="300"/>
      <c r="D238" s="300"/>
      <c r="E238" s="300"/>
      <c r="F238" s="300"/>
      <c r="G238" s="300"/>
      <c r="H238" s="94">
        <f>SUM(H239:H254)</f>
        <v>71930.62999999999</v>
      </c>
      <c r="I238" s="94">
        <f t="shared" ref="I238:P238" si="31">SUM(I239:I254)</f>
        <v>45783.900000000009</v>
      </c>
      <c r="J238" s="94">
        <f t="shared" si="31"/>
        <v>26715.599999999999</v>
      </c>
      <c r="K238" s="106">
        <f t="shared" si="31"/>
        <v>2246</v>
      </c>
      <c r="L238" s="88">
        <f t="shared" si="31"/>
        <v>10965596.940000001</v>
      </c>
      <c r="M238" s="88">
        <f>SUM(M239:M254)</f>
        <v>0</v>
      </c>
      <c r="N238" s="88">
        <f t="shared" si="31"/>
        <v>493079.99</v>
      </c>
      <c r="O238" s="88">
        <f>SUM(O239:O254)</f>
        <v>10472516.949999999</v>
      </c>
      <c r="P238" s="88">
        <f t="shared" si="31"/>
        <v>0</v>
      </c>
      <c r="Q238" s="94" t="s">
        <v>40</v>
      </c>
      <c r="R238" s="105" t="s">
        <v>40</v>
      </c>
      <c r="S238" s="105" t="s">
        <v>40</v>
      </c>
    </row>
    <row r="239" spans="1:19" s="1" customFormat="1" ht="31.5">
      <c r="A239" s="95">
        <f>A237+1</f>
        <v>215</v>
      </c>
      <c r="B239" s="117" t="s">
        <v>392</v>
      </c>
      <c r="C239" s="91">
        <v>1964</v>
      </c>
      <c r="D239" s="91"/>
      <c r="E239" s="98" t="s">
        <v>143</v>
      </c>
      <c r="F239" s="105">
        <v>5</v>
      </c>
      <c r="G239" s="105">
        <v>2</v>
      </c>
      <c r="H239" s="94">
        <v>2372.1999999999998</v>
      </c>
      <c r="I239" s="94">
        <v>1550.9</v>
      </c>
      <c r="J239" s="94">
        <v>759.4</v>
      </c>
      <c r="K239" s="93">
        <v>76</v>
      </c>
      <c r="L239" s="88">
        <v>244245.95</v>
      </c>
      <c r="M239" s="88">
        <f t="shared" ref="M239:M251" si="32">SUM(M240:M254)</f>
        <v>0</v>
      </c>
      <c r="N239" s="88">
        <v>0</v>
      </c>
      <c r="O239" s="88">
        <f>L239</f>
        <v>244245.95</v>
      </c>
      <c r="P239" s="88">
        <v>0</v>
      </c>
      <c r="Q239" s="94">
        <f t="shared" ref="Q239:Q254" si="33">L239/I239</f>
        <v>157.48658843252304</v>
      </c>
      <c r="R239" s="100">
        <v>6774</v>
      </c>
      <c r="S239" s="103">
        <v>42735</v>
      </c>
    </row>
    <row r="240" spans="1:19" s="1" customFormat="1" ht="31.5">
      <c r="A240" s="95">
        <f t="shared" si="27"/>
        <v>216</v>
      </c>
      <c r="B240" s="117" t="s">
        <v>393</v>
      </c>
      <c r="C240" s="91">
        <v>1937</v>
      </c>
      <c r="D240" s="91"/>
      <c r="E240" s="98" t="s">
        <v>143</v>
      </c>
      <c r="F240" s="105">
        <v>4</v>
      </c>
      <c r="G240" s="105">
        <v>4</v>
      </c>
      <c r="H240" s="94">
        <v>3387.6</v>
      </c>
      <c r="I240" s="94">
        <v>2147.6999999999998</v>
      </c>
      <c r="J240" s="94">
        <v>409.2</v>
      </c>
      <c r="K240" s="93">
        <v>112</v>
      </c>
      <c r="L240" s="88">
        <v>1121244.45</v>
      </c>
      <c r="M240" s="88">
        <f t="shared" si="32"/>
        <v>0</v>
      </c>
      <c r="N240" s="88">
        <v>0</v>
      </c>
      <c r="O240" s="88">
        <f>L240</f>
        <v>1121244.45</v>
      </c>
      <c r="P240" s="88">
        <v>0</v>
      </c>
      <c r="Q240" s="94">
        <f t="shared" si="33"/>
        <v>522.0675373655539</v>
      </c>
      <c r="R240" s="100">
        <v>6774</v>
      </c>
      <c r="S240" s="103">
        <v>42735</v>
      </c>
    </row>
    <row r="241" spans="1:19" s="1" customFormat="1" ht="31.5">
      <c r="A241" s="95">
        <f t="shared" si="27"/>
        <v>217</v>
      </c>
      <c r="B241" s="117" t="s">
        <v>386</v>
      </c>
      <c r="C241" s="91">
        <v>1966</v>
      </c>
      <c r="D241" s="105"/>
      <c r="E241" s="98" t="s">
        <v>143</v>
      </c>
      <c r="F241" s="105">
        <v>5</v>
      </c>
      <c r="G241" s="105">
        <v>4</v>
      </c>
      <c r="H241" s="94">
        <v>5298</v>
      </c>
      <c r="I241" s="94">
        <v>3567.1</v>
      </c>
      <c r="J241" s="94">
        <v>984.2</v>
      </c>
      <c r="K241" s="93">
        <v>119</v>
      </c>
      <c r="L241" s="88">
        <v>447569.67</v>
      </c>
      <c r="M241" s="88">
        <f t="shared" si="32"/>
        <v>0</v>
      </c>
      <c r="N241" s="88">
        <v>0</v>
      </c>
      <c r="O241" s="88">
        <f>L241</f>
        <v>447569.67</v>
      </c>
      <c r="P241" s="88">
        <v>0</v>
      </c>
      <c r="Q241" s="94">
        <f t="shared" si="33"/>
        <v>125.47157915393457</v>
      </c>
      <c r="R241" s="100">
        <v>6774</v>
      </c>
      <c r="S241" s="103">
        <v>42735</v>
      </c>
    </row>
    <row r="242" spans="1:19" s="1" customFormat="1" ht="31.5">
      <c r="A242" s="95">
        <f t="shared" si="27"/>
        <v>218</v>
      </c>
      <c r="B242" s="117" t="s">
        <v>388</v>
      </c>
      <c r="C242" s="91">
        <v>1962</v>
      </c>
      <c r="D242" s="105"/>
      <c r="E242" s="98" t="s">
        <v>143</v>
      </c>
      <c r="F242" s="105">
        <v>5</v>
      </c>
      <c r="G242" s="105">
        <v>2</v>
      </c>
      <c r="H242" s="94">
        <v>2434.6999999999998</v>
      </c>
      <c r="I242" s="94">
        <v>1556.2</v>
      </c>
      <c r="J242" s="94">
        <v>1006.4</v>
      </c>
      <c r="K242" s="93">
        <v>82</v>
      </c>
      <c r="L242" s="88">
        <v>447308.17</v>
      </c>
      <c r="M242" s="88">
        <f t="shared" si="32"/>
        <v>0</v>
      </c>
      <c r="N242" s="88">
        <v>0</v>
      </c>
      <c r="O242" s="88">
        <f>L242</f>
        <v>447308.17</v>
      </c>
      <c r="P242" s="88">
        <v>0</v>
      </c>
      <c r="Q242" s="94">
        <f t="shared" si="33"/>
        <v>287.43617144325918</v>
      </c>
      <c r="R242" s="100">
        <v>6774</v>
      </c>
      <c r="S242" s="103">
        <v>42735</v>
      </c>
    </row>
    <row r="243" spans="1:19" s="1" customFormat="1" ht="31.5">
      <c r="A243" s="95">
        <f t="shared" si="27"/>
        <v>219</v>
      </c>
      <c r="B243" s="117" t="s">
        <v>385</v>
      </c>
      <c r="C243" s="91">
        <v>1965</v>
      </c>
      <c r="D243" s="105"/>
      <c r="E243" s="98" t="s">
        <v>143</v>
      </c>
      <c r="F243" s="105">
        <v>5</v>
      </c>
      <c r="G243" s="105">
        <v>4</v>
      </c>
      <c r="H243" s="94">
        <v>4938.5</v>
      </c>
      <c r="I243" s="94">
        <v>3340.7</v>
      </c>
      <c r="J243" s="94">
        <v>2043.5</v>
      </c>
      <c r="K243" s="93">
        <v>186</v>
      </c>
      <c r="L243" s="88">
        <v>470537.19</v>
      </c>
      <c r="M243" s="88">
        <f t="shared" si="32"/>
        <v>0</v>
      </c>
      <c r="N243" s="88">
        <v>0</v>
      </c>
      <c r="O243" s="88">
        <f>L243</f>
        <v>470537.19</v>
      </c>
      <c r="P243" s="88">
        <v>0</v>
      </c>
      <c r="Q243" s="94">
        <f t="shared" si="33"/>
        <v>140.84987876792289</v>
      </c>
      <c r="R243" s="100">
        <v>6774</v>
      </c>
      <c r="S243" s="103">
        <v>42735</v>
      </c>
    </row>
    <row r="244" spans="1:19" s="1" customFormat="1" ht="15.75">
      <c r="A244" s="95">
        <f t="shared" si="27"/>
        <v>220</v>
      </c>
      <c r="B244" s="117" t="s">
        <v>387</v>
      </c>
      <c r="C244" s="91">
        <v>1998</v>
      </c>
      <c r="D244" s="105"/>
      <c r="E244" s="98" t="s">
        <v>148</v>
      </c>
      <c r="F244" s="105">
        <v>2</v>
      </c>
      <c r="G244" s="105">
        <v>1</v>
      </c>
      <c r="H244" s="94">
        <v>1679.8</v>
      </c>
      <c r="I244" s="94">
        <v>628.29999999999995</v>
      </c>
      <c r="J244" s="94">
        <v>316.7</v>
      </c>
      <c r="K244" s="93">
        <v>24</v>
      </c>
      <c r="L244" s="88">
        <f>N244+O244</f>
        <v>970723.46</v>
      </c>
      <c r="M244" s="88">
        <f t="shared" si="32"/>
        <v>0</v>
      </c>
      <c r="N244" s="88">
        <v>493079.99</v>
      </c>
      <c r="O244" s="88">
        <v>477643.47</v>
      </c>
      <c r="P244" s="88">
        <v>0</v>
      </c>
      <c r="Q244" s="94">
        <f t="shared" si="33"/>
        <v>1544.9999363361453</v>
      </c>
      <c r="R244" s="100">
        <v>6774</v>
      </c>
      <c r="S244" s="103">
        <v>42735</v>
      </c>
    </row>
    <row r="245" spans="1:19" s="1" customFormat="1" ht="31.5">
      <c r="A245" s="95">
        <f t="shared" si="27"/>
        <v>221</v>
      </c>
      <c r="B245" s="117" t="s">
        <v>43</v>
      </c>
      <c r="C245" s="118" t="s">
        <v>44</v>
      </c>
      <c r="D245" s="105"/>
      <c r="E245" s="98" t="s">
        <v>143</v>
      </c>
      <c r="F245" s="105">
        <v>5</v>
      </c>
      <c r="G245" s="105">
        <v>4</v>
      </c>
      <c r="H245" s="94">
        <v>5171.93</v>
      </c>
      <c r="I245" s="94">
        <v>3327.6</v>
      </c>
      <c r="J245" s="94">
        <v>1926.2</v>
      </c>
      <c r="K245" s="93">
        <v>172</v>
      </c>
      <c r="L245" s="88">
        <v>569767.76</v>
      </c>
      <c r="M245" s="88">
        <f t="shared" si="32"/>
        <v>0</v>
      </c>
      <c r="N245" s="88">
        <v>0</v>
      </c>
      <c r="O245" s="88">
        <f t="shared" ref="O245:O254" si="34">L245</f>
        <v>569767.76</v>
      </c>
      <c r="P245" s="88">
        <v>0</v>
      </c>
      <c r="Q245" s="94">
        <f t="shared" si="33"/>
        <v>171.22483471571104</v>
      </c>
      <c r="R245" s="100">
        <v>6774</v>
      </c>
      <c r="S245" s="103">
        <v>42735</v>
      </c>
    </row>
    <row r="246" spans="1:19" s="1" customFormat="1" ht="31.5">
      <c r="A246" s="95">
        <f t="shared" si="27"/>
        <v>222</v>
      </c>
      <c r="B246" s="117" t="s">
        <v>45</v>
      </c>
      <c r="C246" s="118" t="s">
        <v>46</v>
      </c>
      <c r="D246" s="105"/>
      <c r="E246" s="98" t="s">
        <v>143</v>
      </c>
      <c r="F246" s="105">
        <v>5</v>
      </c>
      <c r="G246" s="105">
        <v>5</v>
      </c>
      <c r="H246" s="94">
        <v>6256</v>
      </c>
      <c r="I246" s="94">
        <v>4079.5</v>
      </c>
      <c r="J246" s="94">
        <v>2468.8000000000002</v>
      </c>
      <c r="K246" s="93">
        <v>201</v>
      </c>
      <c r="L246" s="88">
        <v>1031206.19</v>
      </c>
      <c r="M246" s="88">
        <f t="shared" si="32"/>
        <v>0</v>
      </c>
      <c r="N246" s="88">
        <v>0</v>
      </c>
      <c r="O246" s="88">
        <f t="shared" si="34"/>
        <v>1031206.19</v>
      </c>
      <c r="P246" s="88">
        <v>0</v>
      </c>
      <c r="Q246" s="94">
        <f t="shared" si="33"/>
        <v>252.77759284226008</v>
      </c>
      <c r="R246" s="100">
        <v>6774</v>
      </c>
      <c r="S246" s="103">
        <v>42735</v>
      </c>
    </row>
    <row r="247" spans="1:19" s="1" customFormat="1" ht="31.5">
      <c r="A247" s="95">
        <f t="shared" si="27"/>
        <v>223</v>
      </c>
      <c r="B247" s="117" t="s">
        <v>389</v>
      </c>
      <c r="C247" s="91">
        <v>1965</v>
      </c>
      <c r="D247" s="105"/>
      <c r="E247" s="98" t="s">
        <v>143</v>
      </c>
      <c r="F247" s="105">
        <v>5</v>
      </c>
      <c r="G247" s="105">
        <v>3</v>
      </c>
      <c r="H247" s="94">
        <v>3780.5</v>
      </c>
      <c r="I247" s="94">
        <v>2488</v>
      </c>
      <c r="J247" s="94">
        <v>1486.4</v>
      </c>
      <c r="K247" s="93">
        <v>136</v>
      </c>
      <c r="L247" s="88">
        <v>631582.19999999995</v>
      </c>
      <c r="M247" s="88">
        <f t="shared" si="32"/>
        <v>0</v>
      </c>
      <c r="N247" s="88">
        <v>0</v>
      </c>
      <c r="O247" s="88">
        <f t="shared" si="34"/>
        <v>631582.19999999995</v>
      </c>
      <c r="P247" s="88">
        <v>0</v>
      </c>
      <c r="Q247" s="94">
        <f t="shared" si="33"/>
        <v>253.85136655948551</v>
      </c>
      <c r="R247" s="100">
        <v>6774</v>
      </c>
      <c r="S247" s="103">
        <v>42735</v>
      </c>
    </row>
    <row r="248" spans="1:19" s="1" customFormat="1" ht="31.5">
      <c r="A248" s="95">
        <f t="shared" si="27"/>
        <v>224</v>
      </c>
      <c r="B248" s="117" t="s">
        <v>390</v>
      </c>
      <c r="C248" s="91">
        <v>1966</v>
      </c>
      <c r="D248" s="105"/>
      <c r="E248" s="98" t="s">
        <v>143</v>
      </c>
      <c r="F248" s="105">
        <v>4</v>
      </c>
      <c r="G248" s="105">
        <v>4</v>
      </c>
      <c r="H248" s="94">
        <v>5304.5</v>
      </c>
      <c r="I248" s="94">
        <v>3408.2</v>
      </c>
      <c r="J248" s="94">
        <v>2177.5</v>
      </c>
      <c r="K248" s="93">
        <v>161</v>
      </c>
      <c r="L248" s="88">
        <v>470537.19</v>
      </c>
      <c r="M248" s="88">
        <f t="shared" si="32"/>
        <v>0</v>
      </c>
      <c r="N248" s="88">
        <v>0</v>
      </c>
      <c r="O248" s="88">
        <f t="shared" si="34"/>
        <v>470537.19</v>
      </c>
      <c r="P248" s="88">
        <v>0</v>
      </c>
      <c r="Q248" s="94">
        <f t="shared" si="33"/>
        <v>138.06032216419226</v>
      </c>
      <c r="R248" s="100">
        <v>6774</v>
      </c>
      <c r="S248" s="103">
        <v>42735</v>
      </c>
    </row>
    <row r="249" spans="1:19" s="1" customFormat="1" ht="31.5">
      <c r="A249" s="95">
        <f t="shared" si="27"/>
        <v>225</v>
      </c>
      <c r="B249" s="117" t="s">
        <v>391</v>
      </c>
      <c r="C249" s="91">
        <v>1964</v>
      </c>
      <c r="D249" s="105"/>
      <c r="E249" s="98" t="s">
        <v>143</v>
      </c>
      <c r="F249" s="105">
        <v>5</v>
      </c>
      <c r="G249" s="105">
        <v>2</v>
      </c>
      <c r="H249" s="94">
        <v>2409.1999999999998</v>
      </c>
      <c r="I249" s="94">
        <v>1538.1</v>
      </c>
      <c r="J249" s="94">
        <v>947.5</v>
      </c>
      <c r="K249" s="93">
        <v>79</v>
      </c>
      <c r="L249" s="88">
        <v>244245.95</v>
      </c>
      <c r="M249" s="88">
        <f t="shared" si="32"/>
        <v>0</v>
      </c>
      <c r="N249" s="88">
        <v>0</v>
      </c>
      <c r="O249" s="88">
        <f t="shared" si="34"/>
        <v>244245.95</v>
      </c>
      <c r="P249" s="88">
        <v>0</v>
      </c>
      <c r="Q249" s="94">
        <f t="shared" si="33"/>
        <v>158.79718483843706</v>
      </c>
      <c r="R249" s="100">
        <v>6774</v>
      </c>
      <c r="S249" s="103">
        <v>42735</v>
      </c>
    </row>
    <row r="250" spans="1:19" s="1" customFormat="1" ht="31.5">
      <c r="A250" s="95">
        <f t="shared" si="27"/>
        <v>226</v>
      </c>
      <c r="B250" s="117" t="s">
        <v>299</v>
      </c>
      <c r="C250" s="91">
        <v>1964</v>
      </c>
      <c r="D250" s="105"/>
      <c r="E250" s="98" t="s">
        <v>143</v>
      </c>
      <c r="F250" s="105">
        <v>5</v>
      </c>
      <c r="G250" s="105">
        <v>4</v>
      </c>
      <c r="H250" s="94">
        <v>5248.9</v>
      </c>
      <c r="I250" s="94">
        <v>3367</v>
      </c>
      <c r="J250" s="94">
        <v>2145.6999999999998</v>
      </c>
      <c r="K250" s="93">
        <v>163</v>
      </c>
      <c r="L250" s="88">
        <v>470537.19</v>
      </c>
      <c r="M250" s="88">
        <f t="shared" si="32"/>
        <v>0</v>
      </c>
      <c r="N250" s="88">
        <v>0</v>
      </c>
      <c r="O250" s="88">
        <f t="shared" si="34"/>
        <v>470537.19</v>
      </c>
      <c r="P250" s="88">
        <v>0</v>
      </c>
      <c r="Q250" s="94">
        <f t="shared" si="33"/>
        <v>139.74968517968517</v>
      </c>
      <c r="R250" s="100">
        <v>6774</v>
      </c>
      <c r="S250" s="103">
        <v>42735</v>
      </c>
    </row>
    <row r="251" spans="1:19" s="1" customFormat="1" ht="31.5">
      <c r="A251" s="95">
        <f t="shared" si="27"/>
        <v>227</v>
      </c>
      <c r="B251" s="117" t="s">
        <v>394</v>
      </c>
      <c r="C251" s="91">
        <v>1966</v>
      </c>
      <c r="D251" s="105"/>
      <c r="E251" s="98" t="s">
        <v>143</v>
      </c>
      <c r="F251" s="105">
        <v>5</v>
      </c>
      <c r="G251" s="105">
        <v>4</v>
      </c>
      <c r="H251" s="94">
        <v>5262.2</v>
      </c>
      <c r="I251" s="94">
        <v>3486.5</v>
      </c>
      <c r="J251" s="94">
        <v>2657.4</v>
      </c>
      <c r="K251" s="93">
        <v>174</v>
      </c>
      <c r="L251" s="88">
        <v>470537.19</v>
      </c>
      <c r="M251" s="88">
        <f t="shared" si="32"/>
        <v>0</v>
      </c>
      <c r="N251" s="88">
        <v>0</v>
      </c>
      <c r="O251" s="88">
        <f t="shared" si="34"/>
        <v>470537.19</v>
      </c>
      <c r="P251" s="88">
        <v>0</v>
      </c>
      <c r="Q251" s="94">
        <f t="shared" si="33"/>
        <v>134.95975620249533</v>
      </c>
      <c r="R251" s="100">
        <v>6774</v>
      </c>
      <c r="S251" s="103">
        <v>42735</v>
      </c>
    </row>
    <row r="252" spans="1:19" s="1" customFormat="1" ht="15.75">
      <c r="A252" s="95">
        <f t="shared" si="27"/>
        <v>228</v>
      </c>
      <c r="B252" s="117" t="s">
        <v>395</v>
      </c>
      <c r="C252" s="91">
        <v>1992</v>
      </c>
      <c r="D252" s="105"/>
      <c r="E252" s="98" t="s">
        <v>145</v>
      </c>
      <c r="F252" s="105">
        <v>5</v>
      </c>
      <c r="G252" s="105">
        <v>4</v>
      </c>
      <c r="H252" s="94">
        <v>5889.4</v>
      </c>
      <c r="I252" s="94">
        <v>3147.9</v>
      </c>
      <c r="J252" s="94">
        <v>2831.8</v>
      </c>
      <c r="K252" s="93">
        <v>135</v>
      </c>
      <c r="L252" s="88">
        <v>1313142</v>
      </c>
      <c r="M252" s="88">
        <f>SUM(M253:M271)</f>
        <v>0</v>
      </c>
      <c r="N252" s="88">
        <v>0</v>
      </c>
      <c r="O252" s="88">
        <f t="shared" si="34"/>
        <v>1313142</v>
      </c>
      <c r="P252" s="88">
        <v>0</v>
      </c>
      <c r="Q252" s="94">
        <f t="shared" si="33"/>
        <v>417.1485752406366</v>
      </c>
      <c r="R252" s="100">
        <v>6774</v>
      </c>
      <c r="S252" s="103">
        <v>42735</v>
      </c>
    </row>
    <row r="253" spans="1:19" s="1" customFormat="1" ht="31.5">
      <c r="A253" s="95">
        <f t="shared" si="27"/>
        <v>229</v>
      </c>
      <c r="B253" s="117" t="s">
        <v>396</v>
      </c>
      <c r="C253" s="91">
        <v>1964</v>
      </c>
      <c r="D253" s="105"/>
      <c r="E253" s="98" t="s">
        <v>143</v>
      </c>
      <c r="F253" s="105">
        <v>5</v>
      </c>
      <c r="G253" s="105">
        <v>5</v>
      </c>
      <c r="H253" s="94">
        <v>6194.7</v>
      </c>
      <c r="I253" s="94">
        <v>4017.8</v>
      </c>
      <c r="J253" s="94">
        <v>2330.8000000000002</v>
      </c>
      <c r="K253" s="93">
        <v>212</v>
      </c>
      <c r="L253" s="88">
        <v>1031206.19</v>
      </c>
      <c r="M253" s="88">
        <f>SUM(M254:M272)</f>
        <v>0</v>
      </c>
      <c r="N253" s="88">
        <v>0</v>
      </c>
      <c r="O253" s="88">
        <f t="shared" si="34"/>
        <v>1031206.19</v>
      </c>
      <c r="P253" s="88">
        <v>0</v>
      </c>
      <c r="Q253" s="94">
        <f t="shared" si="33"/>
        <v>256.65941311165312</v>
      </c>
      <c r="R253" s="100">
        <v>6774</v>
      </c>
      <c r="S253" s="103">
        <v>42735</v>
      </c>
    </row>
    <row r="254" spans="1:19" s="1" customFormat="1" ht="31.5">
      <c r="A254" s="95">
        <f t="shared" si="27"/>
        <v>230</v>
      </c>
      <c r="B254" s="117" t="s">
        <v>47</v>
      </c>
      <c r="C254" s="91">
        <v>1969</v>
      </c>
      <c r="D254" s="105"/>
      <c r="E254" s="98" t="s">
        <v>143</v>
      </c>
      <c r="F254" s="105">
        <v>5</v>
      </c>
      <c r="G254" s="105">
        <v>5</v>
      </c>
      <c r="H254" s="94">
        <v>6302.5</v>
      </c>
      <c r="I254" s="94">
        <v>4132.3999999999996</v>
      </c>
      <c r="J254" s="94">
        <v>2224.1</v>
      </c>
      <c r="K254" s="93">
        <v>214</v>
      </c>
      <c r="L254" s="88">
        <v>1031206.19</v>
      </c>
      <c r="M254" s="88">
        <f>SUM(M255:M273)</f>
        <v>0</v>
      </c>
      <c r="N254" s="88">
        <v>0</v>
      </c>
      <c r="O254" s="88">
        <f t="shared" si="34"/>
        <v>1031206.19</v>
      </c>
      <c r="P254" s="88">
        <v>0</v>
      </c>
      <c r="Q254" s="94">
        <f t="shared" si="33"/>
        <v>249.54171667795956</v>
      </c>
      <c r="R254" s="100">
        <v>6774</v>
      </c>
      <c r="S254" s="103">
        <v>42735</v>
      </c>
    </row>
    <row r="255" spans="1:19" s="15" customFormat="1" ht="15.75">
      <c r="A255" s="95"/>
      <c r="B255" s="300" t="s">
        <v>98</v>
      </c>
      <c r="C255" s="300"/>
      <c r="D255" s="300"/>
      <c r="E255" s="300"/>
      <c r="F255" s="300"/>
      <c r="G255" s="300"/>
      <c r="H255" s="94">
        <f>H256</f>
        <v>3748.7</v>
      </c>
      <c r="I255" s="94">
        <f t="shared" ref="I255:S255" si="35">I256</f>
        <v>3282.3000000000006</v>
      </c>
      <c r="J255" s="94">
        <f t="shared" si="35"/>
        <v>2147.5</v>
      </c>
      <c r="K255" s="106">
        <f t="shared" si="35"/>
        <v>102</v>
      </c>
      <c r="L255" s="88">
        <f t="shared" si="35"/>
        <v>7226531</v>
      </c>
      <c r="M255" s="88">
        <f t="shared" si="35"/>
        <v>0</v>
      </c>
      <c r="N255" s="88">
        <f t="shared" si="35"/>
        <v>0</v>
      </c>
      <c r="O255" s="88">
        <f t="shared" si="35"/>
        <v>7226531</v>
      </c>
      <c r="P255" s="88">
        <f t="shared" si="35"/>
        <v>0</v>
      </c>
      <c r="Q255" s="94" t="str">
        <f t="shared" si="35"/>
        <v>Х</v>
      </c>
      <c r="R255" s="105" t="str">
        <f t="shared" si="35"/>
        <v>Х</v>
      </c>
      <c r="S255" s="105" t="str">
        <f t="shared" si="35"/>
        <v>Х</v>
      </c>
    </row>
    <row r="256" spans="1:19" s="15" customFormat="1" ht="15.75">
      <c r="A256" s="95"/>
      <c r="B256" s="300" t="s">
        <v>606</v>
      </c>
      <c r="C256" s="300"/>
      <c r="D256" s="300"/>
      <c r="E256" s="300"/>
      <c r="F256" s="300"/>
      <c r="G256" s="300"/>
      <c r="H256" s="94">
        <f>SUM(H257:H263)</f>
        <v>3748.7</v>
      </c>
      <c r="I256" s="94">
        <f t="shared" ref="I256:P256" si="36">SUM(I257:I263)</f>
        <v>3282.3000000000006</v>
      </c>
      <c r="J256" s="94">
        <f t="shared" si="36"/>
        <v>2147.5</v>
      </c>
      <c r="K256" s="106">
        <f>SUM(K257:K263)</f>
        <v>102</v>
      </c>
      <c r="L256" s="88">
        <f>SUM(L257:L263)</f>
        <v>7226531</v>
      </c>
      <c r="M256" s="88">
        <f t="shared" si="36"/>
        <v>0</v>
      </c>
      <c r="N256" s="88">
        <f t="shared" si="36"/>
        <v>0</v>
      </c>
      <c r="O256" s="88">
        <f t="shared" si="36"/>
        <v>7226531</v>
      </c>
      <c r="P256" s="88">
        <f t="shared" si="36"/>
        <v>0</v>
      </c>
      <c r="Q256" s="94" t="s">
        <v>40</v>
      </c>
      <c r="R256" s="91" t="s">
        <v>40</v>
      </c>
      <c r="S256" s="105" t="s">
        <v>40</v>
      </c>
    </row>
    <row r="257" spans="1:19" s="1" customFormat="1" ht="31.5">
      <c r="A257" s="95">
        <f>A254+1</f>
        <v>231</v>
      </c>
      <c r="B257" s="96" t="s">
        <v>401</v>
      </c>
      <c r="C257" s="97">
        <v>1964</v>
      </c>
      <c r="D257" s="97"/>
      <c r="E257" s="98" t="s">
        <v>143</v>
      </c>
      <c r="F257" s="97">
        <v>2</v>
      </c>
      <c r="G257" s="97">
        <v>3</v>
      </c>
      <c r="H257" s="100">
        <v>567.29999999999995</v>
      </c>
      <c r="I257" s="100">
        <v>404.9</v>
      </c>
      <c r="J257" s="100">
        <v>93.4</v>
      </c>
      <c r="K257" s="101">
        <v>7</v>
      </c>
      <c r="L257" s="88">
        <v>1100349</v>
      </c>
      <c r="M257" s="88">
        <v>0</v>
      </c>
      <c r="N257" s="88">
        <v>0</v>
      </c>
      <c r="O257" s="88">
        <f>L257</f>
        <v>1100349</v>
      </c>
      <c r="P257" s="88">
        <v>0</v>
      </c>
      <c r="Q257" s="100">
        <f t="shared" ref="Q257:Q263" si="37">L257/I257</f>
        <v>2717.5821190417387</v>
      </c>
      <c r="R257" s="102">
        <v>6774</v>
      </c>
      <c r="S257" s="103">
        <v>42735</v>
      </c>
    </row>
    <row r="258" spans="1:19" s="1" customFormat="1" ht="31.5">
      <c r="A258" s="95">
        <f t="shared" si="27"/>
        <v>232</v>
      </c>
      <c r="B258" s="96" t="s">
        <v>402</v>
      </c>
      <c r="C258" s="97">
        <v>1967</v>
      </c>
      <c r="D258" s="97"/>
      <c r="E258" s="98" t="s">
        <v>143</v>
      </c>
      <c r="F258" s="97">
        <v>2</v>
      </c>
      <c r="G258" s="97">
        <v>2</v>
      </c>
      <c r="H258" s="100">
        <v>563.20000000000005</v>
      </c>
      <c r="I258" s="100">
        <v>528.4</v>
      </c>
      <c r="J258" s="100">
        <v>40.4</v>
      </c>
      <c r="K258" s="101">
        <v>14</v>
      </c>
      <c r="L258" s="88">
        <v>905336</v>
      </c>
      <c r="M258" s="88">
        <v>0</v>
      </c>
      <c r="N258" s="88">
        <v>0</v>
      </c>
      <c r="O258" s="88">
        <f>L258</f>
        <v>905336</v>
      </c>
      <c r="P258" s="88">
        <v>0</v>
      </c>
      <c r="Q258" s="100">
        <f t="shared" si="37"/>
        <v>1713.3535200605602</v>
      </c>
      <c r="R258" s="102">
        <v>6774</v>
      </c>
      <c r="S258" s="103">
        <v>42735</v>
      </c>
    </row>
    <row r="259" spans="1:19" s="1" customFormat="1" ht="31.5">
      <c r="A259" s="95">
        <f t="shared" si="27"/>
        <v>233</v>
      </c>
      <c r="B259" s="96" t="s">
        <v>397</v>
      </c>
      <c r="C259" s="97">
        <v>1979</v>
      </c>
      <c r="D259" s="97"/>
      <c r="E259" s="98" t="s">
        <v>143</v>
      </c>
      <c r="F259" s="97">
        <v>2</v>
      </c>
      <c r="G259" s="97">
        <v>2</v>
      </c>
      <c r="H259" s="100">
        <v>916.7</v>
      </c>
      <c r="I259" s="100">
        <v>832.1</v>
      </c>
      <c r="J259" s="100">
        <v>782.6</v>
      </c>
      <c r="K259" s="101">
        <v>23</v>
      </c>
      <c r="L259" s="88">
        <v>1658131</v>
      </c>
      <c r="M259" s="88">
        <v>0</v>
      </c>
      <c r="N259" s="88">
        <v>0</v>
      </c>
      <c r="O259" s="88">
        <v>1658131</v>
      </c>
      <c r="P259" s="88">
        <v>0</v>
      </c>
      <c r="Q259" s="100">
        <f t="shared" si="37"/>
        <v>1992.7064054801106</v>
      </c>
      <c r="R259" s="100">
        <v>6774</v>
      </c>
      <c r="S259" s="103">
        <v>42735</v>
      </c>
    </row>
    <row r="260" spans="1:19" s="1" customFormat="1" ht="31.5">
      <c r="A260" s="95">
        <f t="shared" si="27"/>
        <v>234</v>
      </c>
      <c r="B260" s="96" t="s">
        <v>559</v>
      </c>
      <c r="C260" s="97">
        <v>1967</v>
      </c>
      <c r="D260" s="97"/>
      <c r="E260" s="98" t="s">
        <v>143</v>
      </c>
      <c r="F260" s="97">
        <v>2</v>
      </c>
      <c r="G260" s="97">
        <v>2</v>
      </c>
      <c r="H260" s="100">
        <v>529.5</v>
      </c>
      <c r="I260" s="100">
        <v>471.3</v>
      </c>
      <c r="J260" s="100">
        <v>433.5</v>
      </c>
      <c r="K260" s="101">
        <v>24</v>
      </c>
      <c r="L260" s="88">
        <v>1276602</v>
      </c>
      <c r="M260" s="88">
        <v>0</v>
      </c>
      <c r="N260" s="88">
        <v>0</v>
      </c>
      <c r="O260" s="88">
        <v>1276602</v>
      </c>
      <c r="P260" s="88">
        <v>0</v>
      </c>
      <c r="Q260" s="100">
        <f t="shared" si="37"/>
        <v>2708.6823679185231</v>
      </c>
      <c r="R260" s="100">
        <v>6774</v>
      </c>
      <c r="S260" s="103">
        <v>42735</v>
      </c>
    </row>
    <row r="261" spans="1:19" s="1" customFormat="1" ht="31.5">
      <c r="A261" s="95">
        <f t="shared" si="27"/>
        <v>235</v>
      </c>
      <c r="B261" s="96" t="s">
        <v>398</v>
      </c>
      <c r="C261" s="97">
        <v>1969</v>
      </c>
      <c r="D261" s="97"/>
      <c r="E261" s="98" t="s">
        <v>143</v>
      </c>
      <c r="F261" s="97">
        <v>2</v>
      </c>
      <c r="G261" s="97">
        <v>2</v>
      </c>
      <c r="H261" s="100">
        <v>395.4</v>
      </c>
      <c r="I261" s="100">
        <v>357.8</v>
      </c>
      <c r="J261" s="100">
        <v>306.60000000000002</v>
      </c>
      <c r="K261" s="101">
        <v>16</v>
      </c>
      <c r="L261" s="88">
        <v>768485</v>
      </c>
      <c r="M261" s="88">
        <v>0</v>
      </c>
      <c r="N261" s="88">
        <v>0</v>
      </c>
      <c r="O261" s="88">
        <v>768485</v>
      </c>
      <c r="P261" s="88">
        <v>0</v>
      </c>
      <c r="Q261" s="100">
        <f t="shared" si="37"/>
        <v>2147.8060368921183</v>
      </c>
      <c r="R261" s="100">
        <v>6774</v>
      </c>
      <c r="S261" s="103">
        <v>42735</v>
      </c>
    </row>
    <row r="262" spans="1:19" s="1" customFormat="1" ht="31.5">
      <c r="A262" s="95">
        <f t="shared" si="27"/>
        <v>236</v>
      </c>
      <c r="B262" s="96" t="s">
        <v>400</v>
      </c>
      <c r="C262" s="97">
        <v>1966</v>
      </c>
      <c r="D262" s="97"/>
      <c r="E262" s="98" t="s">
        <v>143</v>
      </c>
      <c r="F262" s="97">
        <v>2</v>
      </c>
      <c r="G262" s="97">
        <v>2</v>
      </c>
      <c r="H262" s="100">
        <v>434</v>
      </c>
      <c r="I262" s="100">
        <v>396.4</v>
      </c>
      <c r="J262" s="100">
        <v>340.2</v>
      </c>
      <c r="K262" s="101">
        <v>13</v>
      </c>
      <c r="L262" s="88">
        <v>807776</v>
      </c>
      <c r="M262" s="88">
        <v>0</v>
      </c>
      <c r="N262" s="88">
        <v>0</v>
      </c>
      <c r="O262" s="88">
        <v>807776</v>
      </c>
      <c r="P262" s="88">
        <v>0</v>
      </c>
      <c r="Q262" s="100">
        <f t="shared" si="37"/>
        <v>2037.7800201816349</v>
      </c>
      <c r="R262" s="100">
        <v>6774</v>
      </c>
      <c r="S262" s="103">
        <v>42735</v>
      </c>
    </row>
    <row r="263" spans="1:19" s="1" customFormat="1" ht="31.5">
      <c r="A263" s="95">
        <f t="shared" si="27"/>
        <v>237</v>
      </c>
      <c r="B263" s="96" t="s">
        <v>399</v>
      </c>
      <c r="C263" s="97">
        <v>1962</v>
      </c>
      <c r="D263" s="97"/>
      <c r="E263" s="98" t="s">
        <v>143</v>
      </c>
      <c r="F263" s="97">
        <v>2</v>
      </c>
      <c r="G263" s="97">
        <v>1</v>
      </c>
      <c r="H263" s="100">
        <v>342.6</v>
      </c>
      <c r="I263" s="100">
        <v>291.39999999999998</v>
      </c>
      <c r="J263" s="100">
        <v>150.80000000000001</v>
      </c>
      <c r="K263" s="101">
        <v>5</v>
      </c>
      <c r="L263" s="88">
        <v>709852</v>
      </c>
      <c r="M263" s="88">
        <v>0</v>
      </c>
      <c r="N263" s="88">
        <v>0</v>
      </c>
      <c r="O263" s="88">
        <v>709852</v>
      </c>
      <c r="P263" s="88">
        <v>0</v>
      </c>
      <c r="Q263" s="100">
        <f t="shared" si="37"/>
        <v>2436.0054907343861</v>
      </c>
      <c r="R263" s="100">
        <v>6774</v>
      </c>
      <c r="S263" s="103">
        <v>42735</v>
      </c>
    </row>
    <row r="264" spans="1:19" s="1" customFormat="1" ht="15.75" customHeight="1">
      <c r="A264" s="95"/>
      <c r="B264" s="301" t="s">
        <v>41</v>
      </c>
      <c r="C264" s="301"/>
      <c r="D264" s="301"/>
      <c r="E264" s="301"/>
      <c r="F264" s="301"/>
      <c r="G264" s="301"/>
      <c r="H264" s="100">
        <f>H265</f>
        <v>19440.7</v>
      </c>
      <c r="I264" s="100">
        <f t="shared" ref="I264:P264" si="38">I265</f>
        <v>12848.900000000001</v>
      </c>
      <c r="J264" s="100">
        <f t="shared" si="38"/>
        <v>12177.9</v>
      </c>
      <c r="K264" s="101">
        <f t="shared" si="38"/>
        <v>564</v>
      </c>
      <c r="L264" s="88">
        <f t="shared" si="38"/>
        <v>12161074</v>
      </c>
      <c r="M264" s="88">
        <f t="shared" si="38"/>
        <v>0</v>
      </c>
      <c r="N264" s="88">
        <f t="shared" si="38"/>
        <v>0</v>
      </c>
      <c r="O264" s="88">
        <f t="shared" si="38"/>
        <v>12161074</v>
      </c>
      <c r="P264" s="88">
        <f t="shared" si="38"/>
        <v>0</v>
      </c>
      <c r="Q264" s="100" t="s">
        <v>40</v>
      </c>
      <c r="R264" s="112" t="s">
        <v>40</v>
      </c>
      <c r="S264" s="112" t="s">
        <v>40</v>
      </c>
    </row>
    <row r="265" spans="1:19" s="1" customFormat="1" ht="15.75" customHeight="1">
      <c r="A265" s="95"/>
      <c r="B265" s="301" t="s">
        <v>612</v>
      </c>
      <c r="C265" s="301"/>
      <c r="D265" s="301"/>
      <c r="E265" s="301"/>
      <c r="F265" s="301"/>
      <c r="G265" s="301"/>
      <c r="H265" s="100">
        <f>SUM(H266:H270)</f>
        <v>19440.7</v>
      </c>
      <c r="I265" s="100">
        <f>SUM(I266:I270)</f>
        <v>12848.900000000001</v>
      </c>
      <c r="J265" s="100">
        <f>SUM(J266:J270)</f>
        <v>12177.9</v>
      </c>
      <c r="K265" s="101">
        <f>SUM(K266:K270)</f>
        <v>564</v>
      </c>
      <c r="L265" s="88">
        <f>SUM(L266:L270)</f>
        <v>12161074</v>
      </c>
      <c r="M265" s="88">
        <f t="shared" ref="M265:P265" si="39">SUM(M266:M270)</f>
        <v>0</v>
      </c>
      <c r="N265" s="88">
        <f t="shared" si="39"/>
        <v>0</v>
      </c>
      <c r="O265" s="88">
        <f t="shared" si="39"/>
        <v>12161074</v>
      </c>
      <c r="P265" s="88">
        <f t="shared" si="39"/>
        <v>0</v>
      </c>
      <c r="Q265" s="100" t="s">
        <v>40</v>
      </c>
      <c r="R265" s="112" t="s">
        <v>40</v>
      </c>
      <c r="S265" s="112" t="s">
        <v>40</v>
      </c>
    </row>
    <row r="266" spans="1:19" s="1" customFormat="1" ht="31.5">
      <c r="A266" s="95">
        <f>A263+1</f>
        <v>238</v>
      </c>
      <c r="B266" s="96" t="s">
        <v>560</v>
      </c>
      <c r="C266" s="97">
        <v>1962</v>
      </c>
      <c r="D266" s="97"/>
      <c r="E266" s="98" t="s">
        <v>143</v>
      </c>
      <c r="F266" s="97">
        <v>3</v>
      </c>
      <c r="G266" s="97">
        <v>3</v>
      </c>
      <c r="H266" s="100">
        <v>3251.1</v>
      </c>
      <c r="I266" s="100">
        <v>1657.7</v>
      </c>
      <c r="J266" s="100">
        <v>1571.8</v>
      </c>
      <c r="K266" s="101">
        <v>64</v>
      </c>
      <c r="L266" s="88">
        <v>3236918</v>
      </c>
      <c r="M266" s="88">
        <v>0</v>
      </c>
      <c r="N266" s="88">
        <v>0</v>
      </c>
      <c r="O266" s="88">
        <f>L266</f>
        <v>3236918</v>
      </c>
      <c r="P266" s="88">
        <v>0</v>
      </c>
      <c r="Q266" s="100">
        <f>L266/I266</f>
        <v>1952.6560897629245</v>
      </c>
      <c r="R266" s="100">
        <v>6774</v>
      </c>
      <c r="S266" s="103">
        <v>42735</v>
      </c>
    </row>
    <row r="267" spans="1:19" s="1" customFormat="1" ht="31.5">
      <c r="A267" s="95">
        <f t="shared" si="27"/>
        <v>239</v>
      </c>
      <c r="B267" s="96" t="s">
        <v>405</v>
      </c>
      <c r="C267" s="97">
        <v>1952</v>
      </c>
      <c r="D267" s="97"/>
      <c r="E267" s="98" t="s">
        <v>143</v>
      </c>
      <c r="F267" s="97">
        <v>2</v>
      </c>
      <c r="G267" s="97">
        <v>2</v>
      </c>
      <c r="H267" s="100">
        <v>1216.2</v>
      </c>
      <c r="I267" s="100">
        <v>693.5</v>
      </c>
      <c r="J267" s="100">
        <v>693.5</v>
      </c>
      <c r="K267" s="101">
        <v>27</v>
      </c>
      <c r="L267" s="88">
        <v>1317247</v>
      </c>
      <c r="M267" s="88">
        <v>0</v>
      </c>
      <c r="N267" s="88">
        <v>0</v>
      </c>
      <c r="O267" s="88">
        <v>1317247</v>
      </c>
      <c r="P267" s="88">
        <v>0</v>
      </c>
      <c r="Q267" s="100">
        <f>L267/I267</f>
        <v>1899.4188896899784</v>
      </c>
      <c r="R267" s="100">
        <v>6774</v>
      </c>
      <c r="S267" s="103">
        <v>42735</v>
      </c>
    </row>
    <row r="268" spans="1:19" s="1" customFormat="1" ht="31.5">
      <c r="A268" s="95">
        <f>A267+1</f>
        <v>240</v>
      </c>
      <c r="B268" s="96" t="s">
        <v>404</v>
      </c>
      <c r="C268" s="97">
        <v>1962</v>
      </c>
      <c r="D268" s="97"/>
      <c r="E268" s="98" t="s">
        <v>143</v>
      </c>
      <c r="F268" s="97">
        <v>4</v>
      </c>
      <c r="G268" s="97">
        <v>3</v>
      </c>
      <c r="H268" s="100">
        <v>3180.3</v>
      </c>
      <c r="I268" s="100">
        <v>1901.5</v>
      </c>
      <c r="J268" s="100">
        <v>1901.5</v>
      </c>
      <c r="K268" s="101">
        <v>88</v>
      </c>
      <c r="L268" s="88">
        <v>1708666</v>
      </c>
      <c r="M268" s="88">
        <v>0</v>
      </c>
      <c r="N268" s="88">
        <v>0</v>
      </c>
      <c r="O268" s="88">
        <f>L268</f>
        <v>1708666</v>
      </c>
      <c r="P268" s="88">
        <v>0</v>
      </c>
      <c r="Q268" s="100">
        <f>L268/I268</f>
        <v>898.5884827767552</v>
      </c>
      <c r="R268" s="100">
        <v>6774</v>
      </c>
      <c r="S268" s="103">
        <v>42735</v>
      </c>
    </row>
    <row r="269" spans="1:19" s="1" customFormat="1" ht="15.75">
      <c r="A269" s="95">
        <f t="shared" ref="A269:A270" si="40">A268+1</f>
        <v>241</v>
      </c>
      <c r="B269" s="96" t="s">
        <v>403</v>
      </c>
      <c r="C269" s="97">
        <v>1990</v>
      </c>
      <c r="D269" s="97"/>
      <c r="E269" s="98" t="s">
        <v>144</v>
      </c>
      <c r="F269" s="97">
        <v>9</v>
      </c>
      <c r="G269" s="97">
        <v>3</v>
      </c>
      <c r="H269" s="100">
        <v>7895.2</v>
      </c>
      <c r="I269" s="100">
        <v>5780.5</v>
      </c>
      <c r="J269" s="100">
        <v>5412.7</v>
      </c>
      <c r="K269" s="101">
        <v>242</v>
      </c>
      <c r="L269" s="88">
        <v>5600526</v>
      </c>
      <c r="M269" s="88">
        <v>0</v>
      </c>
      <c r="N269" s="88">
        <v>0</v>
      </c>
      <c r="O269" s="88">
        <f>L269</f>
        <v>5600526</v>
      </c>
      <c r="P269" s="88">
        <v>0</v>
      </c>
      <c r="Q269" s="100">
        <f>L269/I269</f>
        <v>968.86532306893866</v>
      </c>
      <c r="R269" s="100">
        <v>6774</v>
      </c>
      <c r="S269" s="103">
        <v>42735</v>
      </c>
    </row>
    <row r="270" spans="1:19" s="1" customFormat="1" ht="15.75">
      <c r="A270" s="95">
        <f t="shared" si="40"/>
        <v>242</v>
      </c>
      <c r="B270" s="96" t="s">
        <v>406</v>
      </c>
      <c r="C270" s="97">
        <v>1981</v>
      </c>
      <c r="D270" s="97"/>
      <c r="E270" s="98" t="s">
        <v>144</v>
      </c>
      <c r="F270" s="97">
        <v>5</v>
      </c>
      <c r="G270" s="97">
        <v>4</v>
      </c>
      <c r="H270" s="100">
        <v>3897.9</v>
      </c>
      <c r="I270" s="100">
        <v>2815.7</v>
      </c>
      <c r="J270" s="100">
        <v>2598.4</v>
      </c>
      <c r="K270" s="101">
        <v>143</v>
      </c>
      <c r="L270" s="88">
        <v>297717</v>
      </c>
      <c r="M270" s="88">
        <v>0</v>
      </c>
      <c r="N270" s="88">
        <v>0</v>
      </c>
      <c r="O270" s="88">
        <v>297717</v>
      </c>
      <c r="P270" s="88">
        <v>0</v>
      </c>
      <c r="Q270" s="100">
        <f>L270/I270</f>
        <v>105.73463082004476</v>
      </c>
      <c r="R270" s="100">
        <v>6774</v>
      </c>
      <c r="S270" s="103">
        <v>42735</v>
      </c>
    </row>
    <row r="271" spans="1:19" s="1" customFormat="1" ht="15.75">
      <c r="A271" s="95"/>
      <c r="B271" s="300" t="s">
        <v>72</v>
      </c>
      <c r="C271" s="300"/>
      <c r="D271" s="300"/>
      <c r="E271" s="300"/>
      <c r="F271" s="300"/>
      <c r="G271" s="300"/>
      <c r="H271" s="94">
        <f>H272</f>
        <v>472.7</v>
      </c>
      <c r="I271" s="94">
        <f t="shared" ref="I271:P271" si="41">I272</f>
        <v>299.60000000000002</v>
      </c>
      <c r="J271" s="94">
        <f t="shared" si="41"/>
        <v>299.60000000000002</v>
      </c>
      <c r="K271" s="106">
        <f t="shared" si="41"/>
        <v>21</v>
      </c>
      <c r="L271" s="88">
        <f t="shared" si="41"/>
        <v>859774</v>
      </c>
      <c r="M271" s="88">
        <f t="shared" si="41"/>
        <v>0</v>
      </c>
      <c r="N271" s="88">
        <f t="shared" si="41"/>
        <v>513774</v>
      </c>
      <c r="O271" s="88">
        <f t="shared" si="41"/>
        <v>346000</v>
      </c>
      <c r="P271" s="88">
        <f t="shared" si="41"/>
        <v>0</v>
      </c>
      <c r="Q271" s="94" t="s">
        <v>40</v>
      </c>
      <c r="R271" s="94" t="s">
        <v>40</v>
      </c>
      <c r="S271" s="94" t="s">
        <v>40</v>
      </c>
    </row>
    <row r="272" spans="1:19" s="1" customFormat="1" ht="15.75" customHeight="1">
      <c r="A272" s="95"/>
      <c r="B272" s="299" t="s">
        <v>613</v>
      </c>
      <c r="C272" s="299"/>
      <c r="D272" s="299"/>
      <c r="E272" s="299"/>
      <c r="F272" s="299"/>
      <c r="G272" s="299"/>
      <c r="H272" s="94">
        <f>H273</f>
        <v>472.7</v>
      </c>
      <c r="I272" s="94">
        <f t="shared" ref="I272:P272" si="42">I273</f>
        <v>299.60000000000002</v>
      </c>
      <c r="J272" s="94">
        <f t="shared" si="42"/>
        <v>299.60000000000002</v>
      </c>
      <c r="K272" s="106">
        <f t="shared" si="42"/>
        <v>21</v>
      </c>
      <c r="L272" s="88">
        <f t="shared" si="42"/>
        <v>859774</v>
      </c>
      <c r="M272" s="88">
        <f t="shared" si="42"/>
        <v>0</v>
      </c>
      <c r="N272" s="88">
        <f t="shared" si="42"/>
        <v>513774</v>
      </c>
      <c r="O272" s="88">
        <f t="shared" si="42"/>
        <v>346000</v>
      </c>
      <c r="P272" s="88">
        <f t="shared" si="42"/>
        <v>0</v>
      </c>
      <c r="Q272" s="94" t="s">
        <v>40</v>
      </c>
      <c r="R272" s="94" t="s">
        <v>40</v>
      </c>
      <c r="S272" s="94" t="s">
        <v>40</v>
      </c>
    </row>
    <row r="273" spans="1:19" s="1" customFormat="1" ht="31.5">
      <c r="A273" s="95">
        <f>A270+1</f>
        <v>243</v>
      </c>
      <c r="B273" s="117" t="s">
        <v>407</v>
      </c>
      <c r="C273" s="105">
        <v>1969</v>
      </c>
      <c r="D273" s="105"/>
      <c r="E273" s="98" t="s">
        <v>143</v>
      </c>
      <c r="F273" s="105">
        <v>2</v>
      </c>
      <c r="G273" s="105">
        <v>2</v>
      </c>
      <c r="H273" s="94">
        <v>472.7</v>
      </c>
      <c r="I273" s="94">
        <v>299.60000000000002</v>
      </c>
      <c r="J273" s="94">
        <v>299.60000000000002</v>
      </c>
      <c r="K273" s="106">
        <v>21</v>
      </c>
      <c r="L273" s="88">
        <v>859774</v>
      </c>
      <c r="M273" s="88">
        <v>0</v>
      </c>
      <c r="N273" s="88">
        <v>513774</v>
      </c>
      <c r="O273" s="88">
        <v>346000</v>
      </c>
      <c r="P273" s="88">
        <v>0</v>
      </c>
      <c r="Q273" s="94">
        <f>L273/I273</f>
        <v>2869.739652870494</v>
      </c>
      <c r="R273" s="100">
        <v>6774</v>
      </c>
      <c r="S273" s="103">
        <v>42735</v>
      </c>
    </row>
    <row r="274" spans="1:19" s="15" customFormat="1" ht="15.75">
      <c r="A274" s="95"/>
      <c r="B274" s="300" t="s">
        <v>48</v>
      </c>
      <c r="C274" s="300"/>
      <c r="D274" s="300"/>
      <c r="E274" s="300"/>
      <c r="F274" s="300"/>
      <c r="G274" s="300"/>
      <c r="H274" s="94">
        <f>H275+H290</f>
        <v>23164.559999999998</v>
      </c>
      <c r="I274" s="94">
        <f t="shared" ref="I274:L274" si="43">I275+I290</f>
        <v>21134.959999999999</v>
      </c>
      <c r="J274" s="94">
        <f t="shared" si="43"/>
        <v>19251.09</v>
      </c>
      <c r="K274" s="106">
        <f>K275+K290</f>
        <v>853</v>
      </c>
      <c r="L274" s="88">
        <f t="shared" si="43"/>
        <v>23032470</v>
      </c>
      <c r="M274" s="88">
        <f t="shared" ref="M274" si="44">M275+M290</f>
        <v>0</v>
      </c>
      <c r="N274" s="88">
        <f t="shared" ref="N274" si="45">N275+N290</f>
        <v>1400000</v>
      </c>
      <c r="O274" s="88">
        <f t="shared" ref="O274:P274" si="46">O275+O290</f>
        <v>21632470</v>
      </c>
      <c r="P274" s="88">
        <f t="shared" si="46"/>
        <v>0</v>
      </c>
      <c r="Q274" s="94" t="s">
        <v>40</v>
      </c>
      <c r="R274" s="94" t="s">
        <v>40</v>
      </c>
      <c r="S274" s="94" t="s">
        <v>40</v>
      </c>
    </row>
    <row r="275" spans="1:19" s="6" customFormat="1" ht="15.75" customHeight="1">
      <c r="A275" s="95"/>
      <c r="B275" s="299" t="s">
        <v>662</v>
      </c>
      <c r="C275" s="299"/>
      <c r="D275" s="299"/>
      <c r="E275" s="299"/>
      <c r="F275" s="299"/>
      <c r="G275" s="299"/>
      <c r="H275" s="94">
        <f t="shared" ref="H275:M275" si="47">SUM(H276:H289)</f>
        <v>20106.559999999998</v>
      </c>
      <c r="I275" s="94">
        <f t="shared" si="47"/>
        <v>18426.259999999998</v>
      </c>
      <c r="J275" s="94">
        <f t="shared" si="47"/>
        <v>16665.189999999999</v>
      </c>
      <c r="K275" s="106">
        <f t="shared" si="47"/>
        <v>735</v>
      </c>
      <c r="L275" s="88">
        <f t="shared" si="47"/>
        <v>20696312</v>
      </c>
      <c r="M275" s="88">
        <f t="shared" si="47"/>
        <v>0</v>
      </c>
      <c r="N275" s="88">
        <f t="shared" ref="N275:O275" si="48">SUM(N276:N289)</f>
        <v>0</v>
      </c>
      <c r="O275" s="88">
        <f t="shared" si="48"/>
        <v>20696312</v>
      </c>
      <c r="P275" s="88">
        <f>SUM(P276:P292)</f>
        <v>0</v>
      </c>
      <c r="Q275" s="94" t="s">
        <v>40</v>
      </c>
      <c r="R275" s="94" t="s">
        <v>40</v>
      </c>
      <c r="S275" s="94" t="s">
        <v>40</v>
      </c>
    </row>
    <row r="276" spans="1:19" s="37" customFormat="1" ht="15.75">
      <c r="A276" s="95">
        <f>A273+1</f>
        <v>244</v>
      </c>
      <c r="B276" s="119" t="s">
        <v>420</v>
      </c>
      <c r="C276" s="120">
        <v>1979</v>
      </c>
      <c r="D276" s="121"/>
      <c r="E276" s="98" t="s">
        <v>144</v>
      </c>
      <c r="F276" s="120">
        <v>5</v>
      </c>
      <c r="G276" s="120">
        <v>6</v>
      </c>
      <c r="H276" s="122">
        <v>4364.1000000000004</v>
      </c>
      <c r="I276" s="109">
        <v>3933.3</v>
      </c>
      <c r="J276" s="109">
        <v>3786.33</v>
      </c>
      <c r="K276" s="110">
        <v>163</v>
      </c>
      <c r="L276" s="88">
        <v>2301804</v>
      </c>
      <c r="M276" s="88">
        <v>0</v>
      </c>
      <c r="N276" s="88">
        <v>0</v>
      </c>
      <c r="O276" s="88">
        <f t="shared" ref="O276:O289" si="49">L276</f>
        <v>2301804</v>
      </c>
      <c r="P276" s="88">
        <v>0</v>
      </c>
      <c r="Q276" s="123">
        <f>L276/I276</f>
        <v>585.2093661810693</v>
      </c>
      <c r="R276" s="100">
        <v>6774</v>
      </c>
      <c r="S276" s="103">
        <v>42735</v>
      </c>
    </row>
    <row r="277" spans="1:19" s="38" customFormat="1" ht="31.5">
      <c r="A277" s="95">
        <f t="shared" ref="A277:A340" si="50">A276+1</f>
        <v>245</v>
      </c>
      <c r="B277" s="124" t="s">
        <v>408</v>
      </c>
      <c r="C277" s="98">
        <v>1976</v>
      </c>
      <c r="D277" s="98"/>
      <c r="E277" s="98" t="s">
        <v>143</v>
      </c>
      <c r="F277" s="125">
        <v>5</v>
      </c>
      <c r="G277" s="98">
        <v>6</v>
      </c>
      <c r="H277" s="126">
        <v>4869.8</v>
      </c>
      <c r="I277" s="127">
        <v>4494.8</v>
      </c>
      <c r="J277" s="127">
        <v>3910.1</v>
      </c>
      <c r="K277" s="128">
        <v>161</v>
      </c>
      <c r="L277" s="88">
        <v>1743478</v>
      </c>
      <c r="M277" s="88">
        <v>0</v>
      </c>
      <c r="N277" s="88">
        <v>0</v>
      </c>
      <c r="O277" s="88">
        <f t="shared" si="49"/>
        <v>1743478</v>
      </c>
      <c r="P277" s="88">
        <v>0</v>
      </c>
      <c r="Q277" s="129">
        <f>L277/I277</f>
        <v>387.88778143632641</v>
      </c>
      <c r="R277" s="89">
        <v>6774</v>
      </c>
      <c r="S277" s="103">
        <v>42735</v>
      </c>
    </row>
    <row r="278" spans="1:19" s="38" customFormat="1" ht="31.5">
      <c r="A278" s="95">
        <f t="shared" si="50"/>
        <v>246</v>
      </c>
      <c r="B278" s="130" t="s">
        <v>421</v>
      </c>
      <c r="C278" s="121">
        <v>2005</v>
      </c>
      <c r="D278" s="121"/>
      <c r="E278" s="98" t="s">
        <v>143</v>
      </c>
      <c r="F278" s="120">
        <v>2</v>
      </c>
      <c r="G278" s="120">
        <v>2</v>
      </c>
      <c r="H278" s="122">
        <v>2170.6999999999998</v>
      </c>
      <c r="I278" s="109">
        <v>1890.5</v>
      </c>
      <c r="J278" s="109">
        <v>1756.6</v>
      </c>
      <c r="K278" s="110">
        <v>72</v>
      </c>
      <c r="L278" s="88">
        <v>2485001</v>
      </c>
      <c r="M278" s="88">
        <v>0</v>
      </c>
      <c r="N278" s="88">
        <v>0</v>
      </c>
      <c r="O278" s="88">
        <f t="shared" si="49"/>
        <v>2485001</v>
      </c>
      <c r="P278" s="88">
        <v>0</v>
      </c>
      <c r="Q278" s="112">
        <f>L278/I278</f>
        <v>1314.4676011637132</v>
      </c>
      <c r="R278" s="100">
        <v>6774</v>
      </c>
      <c r="S278" s="103">
        <v>42735</v>
      </c>
    </row>
    <row r="279" spans="1:19" s="38" customFormat="1" ht="31.5">
      <c r="A279" s="95">
        <f t="shared" si="50"/>
        <v>247</v>
      </c>
      <c r="B279" s="119" t="s">
        <v>417</v>
      </c>
      <c r="C279" s="120">
        <v>1961</v>
      </c>
      <c r="D279" s="121"/>
      <c r="E279" s="98" t="s">
        <v>143</v>
      </c>
      <c r="F279" s="120">
        <v>2</v>
      </c>
      <c r="G279" s="121">
        <v>3</v>
      </c>
      <c r="H279" s="131">
        <v>662.8</v>
      </c>
      <c r="I279" s="132">
        <v>612.6</v>
      </c>
      <c r="J279" s="132">
        <v>517</v>
      </c>
      <c r="K279" s="133">
        <v>32</v>
      </c>
      <c r="L279" s="88">
        <v>1237591</v>
      </c>
      <c r="M279" s="88">
        <v>0</v>
      </c>
      <c r="N279" s="88">
        <v>0</v>
      </c>
      <c r="O279" s="88">
        <f t="shared" si="49"/>
        <v>1237591</v>
      </c>
      <c r="P279" s="88">
        <v>0</v>
      </c>
      <c r="Q279" s="134">
        <f>L279/I279</f>
        <v>2020.2269017303297</v>
      </c>
      <c r="R279" s="100">
        <v>6774</v>
      </c>
      <c r="S279" s="103">
        <v>42735</v>
      </c>
    </row>
    <row r="280" spans="1:19" s="38" customFormat="1" ht="31.5">
      <c r="A280" s="95">
        <f t="shared" si="50"/>
        <v>248</v>
      </c>
      <c r="B280" s="135" t="s">
        <v>412</v>
      </c>
      <c r="C280" s="120">
        <v>1953</v>
      </c>
      <c r="D280" s="121"/>
      <c r="E280" s="98" t="s">
        <v>143</v>
      </c>
      <c r="F280" s="120">
        <v>2</v>
      </c>
      <c r="G280" s="121">
        <v>2</v>
      </c>
      <c r="H280" s="136">
        <v>470.96</v>
      </c>
      <c r="I280" s="136">
        <v>417.36</v>
      </c>
      <c r="J280" s="136">
        <v>356.76</v>
      </c>
      <c r="K280" s="137">
        <v>10</v>
      </c>
      <c r="L280" s="88">
        <v>1448078</v>
      </c>
      <c r="M280" s="88">
        <v>0</v>
      </c>
      <c r="N280" s="88">
        <v>0</v>
      </c>
      <c r="O280" s="88">
        <f t="shared" si="49"/>
        <v>1448078</v>
      </c>
      <c r="P280" s="88">
        <v>0</v>
      </c>
      <c r="Q280" s="134">
        <f>L280/I280</f>
        <v>3469.6137626988689</v>
      </c>
      <c r="R280" s="100">
        <v>6774</v>
      </c>
      <c r="S280" s="103">
        <v>42735</v>
      </c>
    </row>
    <row r="281" spans="1:19" s="38" customFormat="1" ht="31.5">
      <c r="A281" s="95">
        <f t="shared" si="50"/>
        <v>249</v>
      </c>
      <c r="B281" s="135" t="s">
        <v>413</v>
      </c>
      <c r="C281" s="120">
        <v>1954</v>
      </c>
      <c r="D281" s="121"/>
      <c r="E281" s="98" t="s">
        <v>143</v>
      </c>
      <c r="F281" s="120">
        <v>2</v>
      </c>
      <c r="G281" s="121">
        <v>2</v>
      </c>
      <c r="H281" s="131">
        <v>922.3</v>
      </c>
      <c r="I281" s="132">
        <v>862.3</v>
      </c>
      <c r="J281" s="132">
        <v>862.3</v>
      </c>
      <c r="K281" s="110">
        <v>31</v>
      </c>
      <c r="L281" s="88">
        <v>1963797</v>
      </c>
      <c r="M281" s="88">
        <v>0</v>
      </c>
      <c r="N281" s="88">
        <v>0</v>
      </c>
      <c r="O281" s="88">
        <f t="shared" si="49"/>
        <v>1963797</v>
      </c>
      <c r="P281" s="88">
        <v>0</v>
      </c>
      <c r="Q281" s="134">
        <f xml:space="preserve"> L281/I281</f>
        <v>2277.3941783601995</v>
      </c>
      <c r="R281" s="100">
        <v>6774</v>
      </c>
      <c r="S281" s="103">
        <v>42735</v>
      </c>
    </row>
    <row r="282" spans="1:19" s="39" customFormat="1" ht="31.5">
      <c r="A282" s="95">
        <f t="shared" si="50"/>
        <v>250</v>
      </c>
      <c r="B282" s="135" t="s">
        <v>414</v>
      </c>
      <c r="C282" s="120">
        <v>1961</v>
      </c>
      <c r="D282" s="121"/>
      <c r="E282" s="98" t="s">
        <v>143</v>
      </c>
      <c r="F282" s="120">
        <v>4</v>
      </c>
      <c r="G282" s="121">
        <v>4</v>
      </c>
      <c r="H282" s="122">
        <v>2386.6</v>
      </c>
      <c r="I282" s="109">
        <v>2260.4</v>
      </c>
      <c r="J282" s="109">
        <v>2024.9</v>
      </c>
      <c r="K282" s="110">
        <v>66</v>
      </c>
      <c r="L282" s="88">
        <v>2119530</v>
      </c>
      <c r="M282" s="88">
        <v>0</v>
      </c>
      <c r="N282" s="88">
        <v>0</v>
      </c>
      <c r="O282" s="88">
        <f t="shared" si="49"/>
        <v>2119530</v>
      </c>
      <c r="P282" s="88">
        <v>0</v>
      </c>
      <c r="Q282" s="134">
        <f t="shared" ref="Q282:Q289" si="51">L282/I282</f>
        <v>937.67917182799499</v>
      </c>
      <c r="R282" s="100">
        <v>6774</v>
      </c>
      <c r="S282" s="103">
        <v>42735</v>
      </c>
    </row>
    <row r="283" spans="1:19" s="39" customFormat="1" ht="31.5">
      <c r="A283" s="95">
        <f t="shared" si="50"/>
        <v>251</v>
      </c>
      <c r="B283" s="119" t="s">
        <v>418</v>
      </c>
      <c r="C283" s="120">
        <v>1956</v>
      </c>
      <c r="D283" s="121"/>
      <c r="E283" s="98" t="s">
        <v>143</v>
      </c>
      <c r="F283" s="120">
        <v>2</v>
      </c>
      <c r="G283" s="121">
        <v>2</v>
      </c>
      <c r="H283" s="132">
        <v>833.9</v>
      </c>
      <c r="I283" s="132">
        <v>785.9</v>
      </c>
      <c r="J283" s="132">
        <v>675</v>
      </c>
      <c r="K283" s="133">
        <v>32</v>
      </c>
      <c r="L283" s="88">
        <v>1098163</v>
      </c>
      <c r="M283" s="88">
        <v>0</v>
      </c>
      <c r="N283" s="88">
        <v>0</v>
      </c>
      <c r="O283" s="88">
        <f t="shared" si="49"/>
        <v>1098163</v>
      </c>
      <c r="P283" s="88">
        <v>0</v>
      </c>
      <c r="Q283" s="134">
        <f t="shared" si="51"/>
        <v>1397.3317215930781</v>
      </c>
      <c r="R283" s="100">
        <v>6774</v>
      </c>
      <c r="S283" s="103">
        <v>42735</v>
      </c>
    </row>
    <row r="284" spans="1:19" s="39" customFormat="1" ht="31.5">
      <c r="A284" s="95">
        <f t="shared" si="50"/>
        <v>252</v>
      </c>
      <c r="B284" s="119" t="s">
        <v>419</v>
      </c>
      <c r="C284" s="120">
        <v>1959</v>
      </c>
      <c r="D284" s="121"/>
      <c r="E284" s="98" t="s">
        <v>143</v>
      </c>
      <c r="F284" s="120">
        <v>2</v>
      </c>
      <c r="G284" s="121">
        <v>3</v>
      </c>
      <c r="H284" s="138">
        <v>640.5</v>
      </c>
      <c r="I284" s="136">
        <v>621.79999999999995</v>
      </c>
      <c r="J284" s="136">
        <v>490.9</v>
      </c>
      <c r="K284" s="133">
        <v>35</v>
      </c>
      <c r="L284" s="88">
        <v>1241309</v>
      </c>
      <c r="M284" s="88">
        <v>0</v>
      </c>
      <c r="N284" s="88">
        <v>0</v>
      </c>
      <c r="O284" s="88">
        <f t="shared" si="49"/>
        <v>1241309</v>
      </c>
      <c r="P284" s="88">
        <v>0</v>
      </c>
      <c r="Q284" s="134">
        <f t="shared" si="51"/>
        <v>1996.3155355419751</v>
      </c>
      <c r="R284" s="100">
        <v>6774</v>
      </c>
      <c r="S284" s="103">
        <v>42735</v>
      </c>
    </row>
    <row r="285" spans="1:19" s="39" customFormat="1" ht="31.5">
      <c r="A285" s="95">
        <f t="shared" si="50"/>
        <v>253</v>
      </c>
      <c r="B285" s="119" t="s">
        <v>415</v>
      </c>
      <c r="C285" s="120">
        <v>1960</v>
      </c>
      <c r="D285" s="121"/>
      <c r="E285" s="98" t="s">
        <v>143</v>
      </c>
      <c r="F285" s="120">
        <v>2</v>
      </c>
      <c r="G285" s="121">
        <v>2</v>
      </c>
      <c r="H285" s="131">
        <v>504.1</v>
      </c>
      <c r="I285" s="132">
        <v>445.3</v>
      </c>
      <c r="J285" s="132">
        <v>373.3</v>
      </c>
      <c r="K285" s="133">
        <v>24</v>
      </c>
      <c r="L285" s="88">
        <v>1041360</v>
      </c>
      <c r="M285" s="88">
        <v>0</v>
      </c>
      <c r="N285" s="88">
        <v>0</v>
      </c>
      <c r="O285" s="88">
        <f t="shared" si="49"/>
        <v>1041360</v>
      </c>
      <c r="P285" s="88">
        <v>0</v>
      </c>
      <c r="Q285" s="134">
        <f t="shared" si="51"/>
        <v>2338.5582753200088</v>
      </c>
      <c r="R285" s="100">
        <v>6774</v>
      </c>
      <c r="S285" s="103">
        <v>42735</v>
      </c>
    </row>
    <row r="286" spans="1:19" s="41" customFormat="1" ht="31.5">
      <c r="A286" s="95">
        <f>A285+1</f>
        <v>254</v>
      </c>
      <c r="B286" s="119" t="s">
        <v>416</v>
      </c>
      <c r="C286" s="120">
        <v>1961</v>
      </c>
      <c r="D286" s="121"/>
      <c r="E286" s="98" t="s">
        <v>143</v>
      </c>
      <c r="F286" s="120">
        <v>2</v>
      </c>
      <c r="G286" s="121">
        <v>2</v>
      </c>
      <c r="H286" s="131">
        <v>506.2</v>
      </c>
      <c r="I286" s="132">
        <v>447.4</v>
      </c>
      <c r="J286" s="132">
        <f>I286</f>
        <v>447.4</v>
      </c>
      <c r="K286" s="133">
        <v>18</v>
      </c>
      <c r="L286" s="88">
        <v>1138866</v>
      </c>
      <c r="M286" s="88">
        <v>0</v>
      </c>
      <c r="N286" s="88">
        <v>0</v>
      </c>
      <c r="O286" s="88">
        <f t="shared" si="49"/>
        <v>1138866</v>
      </c>
      <c r="P286" s="88">
        <v>0</v>
      </c>
      <c r="Q286" s="134">
        <f t="shared" si="51"/>
        <v>2545.5207867679928</v>
      </c>
      <c r="R286" s="100">
        <v>6774</v>
      </c>
      <c r="S286" s="103">
        <v>42735</v>
      </c>
    </row>
    <row r="287" spans="1:19" s="38" customFormat="1" ht="31.5">
      <c r="A287" s="95">
        <f>A286+1</f>
        <v>255</v>
      </c>
      <c r="B287" s="135" t="s">
        <v>409</v>
      </c>
      <c r="C287" s="120">
        <v>1966</v>
      </c>
      <c r="D287" s="121"/>
      <c r="E287" s="98" t="s">
        <v>143</v>
      </c>
      <c r="F287" s="120">
        <v>2</v>
      </c>
      <c r="G287" s="121">
        <v>2</v>
      </c>
      <c r="H287" s="131">
        <v>482.5</v>
      </c>
      <c r="I287" s="132">
        <v>454.1</v>
      </c>
      <c r="J287" s="132">
        <v>370.7</v>
      </c>
      <c r="K287" s="110">
        <v>31</v>
      </c>
      <c r="L287" s="88">
        <v>848546</v>
      </c>
      <c r="M287" s="88">
        <v>0</v>
      </c>
      <c r="N287" s="88">
        <v>0</v>
      </c>
      <c r="O287" s="88">
        <f t="shared" si="49"/>
        <v>848546</v>
      </c>
      <c r="P287" s="88">
        <v>0</v>
      </c>
      <c r="Q287" s="134">
        <f t="shared" si="51"/>
        <v>1868.6324598106144</v>
      </c>
      <c r="R287" s="100">
        <v>6774</v>
      </c>
      <c r="S287" s="103">
        <v>42735</v>
      </c>
    </row>
    <row r="288" spans="1:19" s="38" customFormat="1" ht="31.5">
      <c r="A288" s="95">
        <f>A287+1</f>
        <v>256</v>
      </c>
      <c r="B288" s="135" t="s">
        <v>410</v>
      </c>
      <c r="C288" s="120">
        <v>1969</v>
      </c>
      <c r="D288" s="121"/>
      <c r="E288" s="98" t="s">
        <v>143</v>
      </c>
      <c r="F288" s="120">
        <v>2</v>
      </c>
      <c r="G288" s="121">
        <v>2</v>
      </c>
      <c r="H288" s="131">
        <v>502.6</v>
      </c>
      <c r="I288" s="131">
        <v>471</v>
      </c>
      <c r="J288" s="132">
        <v>423.8</v>
      </c>
      <c r="K288" s="110">
        <v>21</v>
      </c>
      <c r="L288" s="88">
        <v>848706</v>
      </c>
      <c r="M288" s="88">
        <v>0</v>
      </c>
      <c r="N288" s="88">
        <v>0</v>
      </c>
      <c r="O288" s="88">
        <f t="shared" si="49"/>
        <v>848706</v>
      </c>
      <c r="P288" s="88">
        <v>0</v>
      </c>
      <c r="Q288" s="134">
        <f t="shared" si="51"/>
        <v>1801.9235668789809</v>
      </c>
      <c r="R288" s="100">
        <v>6774</v>
      </c>
      <c r="S288" s="103">
        <v>42735</v>
      </c>
    </row>
    <row r="289" spans="1:19" s="38" customFormat="1" ht="31.5">
      <c r="A289" s="95">
        <f>A288+1</f>
        <v>257</v>
      </c>
      <c r="B289" s="135" t="s">
        <v>411</v>
      </c>
      <c r="C289" s="120">
        <v>1973</v>
      </c>
      <c r="D289" s="121"/>
      <c r="E289" s="98" t="s">
        <v>143</v>
      </c>
      <c r="F289" s="120">
        <v>2</v>
      </c>
      <c r="G289" s="121">
        <v>2</v>
      </c>
      <c r="H289" s="131">
        <v>789.5</v>
      </c>
      <c r="I289" s="132">
        <v>729.5</v>
      </c>
      <c r="J289" s="132">
        <v>670.1</v>
      </c>
      <c r="K289" s="110">
        <v>39</v>
      </c>
      <c r="L289" s="88">
        <v>1180083</v>
      </c>
      <c r="M289" s="88">
        <v>0</v>
      </c>
      <c r="N289" s="88">
        <v>0</v>
      </c>
      <c r="O289" s="88">
        <f t="shared" si="49"/>
        <v>1180083</v>
      </c>
      <c r="P289" s="88">
        <v>0</v>
      </c>
      <c r="Q289" s="134">
        <f t="shared" si="51"/>
        <v>1617.6600411240577</v>
      </c>
      <c r="R289" s="100">
        <v>6774</v>
      </c>
      <c r="S289" s="103">
        <v>42735</v>
      </c>
    </row>
    <row r="290" spans="1:19" s="39" customFormat="1" ht="15.75" customHeight="1">
      <c r="A290" s="95"/>
      <c r="B290" s="299" t="s">
        <v>661</v>
      </c>
      <c r="C290" s="299"/>
      <c r="D290" s="299"/>
      <c r="E290" s="299"/>
      <c r="F290" s="299"/>
      <c r="G290" s="299"/>
      <c r="H290" s="94">
        <f>H291+H292</f>
        <v>3058</v>
      </c>
      <c r="I290" s="94">
        <f t="shared" ref="I290:L290" si="52">I291+I292</f>
        <v>2708.7</v>
      </c>
      <c r="J290" s="94">
        <f t="shared" si="52"/>
        <v>2585.9</v>
      </c>
      <c r="K290" s="106">
        <f t="shared" si="52"/>
        <v>118</v>
      </c>
      <c r="L290" s="88">
        <f t="shared" si="52"/>
        <v>2336158</v>
      </c>
      <c r="M290" s="88">
        <f t="shared" ref="M290" si="53">M291+M292</f>
        <v>0</v>
      </c>
      <c r="N290" s="88">
        <f t="shared" ref="N290" si="54">N291+N292</f>
        <v>1400000</v>
      </c>
      <c r="O290" s="88">
        <f t="shared" ref="O290" si="55">O291+O292</f>
        <v>936158</v>
      </c>
      <c r="P290" s="88">
        <f t="shared" ref="P290" si="56">P291+P292</f>
        <v>0</v>
      </c>
      <c r="Q290" s="94" t="s">
        <v>40</v>
      </c>
      <c r="R290" s="94" t="s">
        <v>40</v>
      </c>
      <c r="S290" s="94" t="s">
        <v>40</v>
      </c>
    </row>
    <row r="291" spans="1:19" s="39" customFormat="1" ht="16.5" customHeight="1">
      <c r="A291" s="95">
        <f>A289+1</f>
        <v>258</v>
      </c>
      <c r="B291" s="130" t="s">
        <v>422</v>
      </c>
      <c r="C291" s="121">
        <v>1986</v>
      </c>
      <c r="D291" s="121"/>
      <c r="E291" s="98" t="s">
        <v>148</v>
      </c>
      <c r="F291" s="120">
        <v>3</v>
      </c>
      <c r="G291" s="121">
        <v>3</v>
      </c>
      <c r="H291" s="131">
        <v>1529</v>
      </c>
      <c r="I291" s="132">
        <v>1345.2</v>
      </c>
      <c r="J291" s="132">
        <v>1345.2</v>
      </c>
      <c r="K291" s="133">
        <v>60</v>
      </c>
      <c r="L291" s="88">
        <f>O291+N291</f>
        <v>1168079</v>
      </c>
      <c r="M291" s="88">
        <v>0</v>
      </c>
      <c r="N291" s="88">
        <v>700000</v>
      </c>
      <c r="O291" s="88">
        <v>468079</v>
      </c>
      <c r="P291" s="88">
        <v>0</v>
      </c>
      <c r="Q291" s="134">
        <f>L291/I291</f>
        <v>868.33110318168303</v>
      </c>
      <c r="R291" s="100">
        <v>6774</v>
      </c>
      <c r="S291" s="103">
        <v>42735</v>
      </c>
    </row>
    <row r="292" spans="1:19" s="39" customFormat="1" ht="18" customHeight="1">
      <c r="A292" s="95">
        <f>A291+1</f>
        <v>259</v>
      </c>
      <c r="B292" s="130" t="s">
        <v>423</v>
      </c>
      <c r="C292" s="121">
        <v>1986</v>
      </c>
      <c r="D292" s="121"/>
      <c r="E292" s="98" t="s">
        <v>148</v>
      </c>
      <c r="F292" s="120">
        <v>3</v>
      </c>
      <c r="G292" s="121">
        <v>3</v>
      </c>
      <c r="H292" s="131">
        <v>1529</v>
      </c>
      <c r="I292" s="132">
        <v>1363.5</v>
      </c>
      <c r="J292" s="132">
        <v>1240.7</v>
      </c>
      <c r="K292" s="133">
        <v>58</v>
      </c>
      <c r="L292" s="88">
        <f>O292+N292</f>
        <v>1168079</v>
      </c>
      <c r="M292" s="88">
        <v>0</v>
      </c>
      <c r="N292" s="88">
        <v>700000</v>
      </c>
      <c r="O292" s="88">
        <v>468079</v>
      </c>
      <c r="P292" s="88">
        <v>0</v>
      </c>
      <c r="Q292" s="134">
        <f>L292/I292</f>
        <v>856.67693436010268</v>
      </c>
      <c r="R292" s="100">
        <v>6774</v>
      </c>
      <c r="S292" s="103">
        <v>42735</v>
      </c>
    </row>
    <row r="293" spans="1:19" s="1" customFormat="1" ht="15.75">
      <c r="A293" s="95"/>
      <c r="B293" s="300" t="s">
        <v>49</v>
      </c>
      <c r="C293" s="300"/>
      <c r="D293" s="300"/>
      <c r="E293" s="300"/>
      <c r="F293" s="300"/>
      <c r="G293" s="300"/>
      <c r="H293" s="94">
        <f>H294</f>
        <v>6127.8</v>
      </c>
      <c r="I293" s="94">
        <f t="shared" ref="I293:P293" si="57">I294</f>
        <v>6127.8</v>
      </c>
      <c r="J293" s="94">
        <f t="shared" si="57"/>
        <v>4997.6000000000004</v>
      </c>
      <c r="K293" s="106">
        <f t="shared" si="57"/>
        <v>205</v>
      </c>
      <c r="L293" s="88">
        <f>L294</f>
        <v>4547180</v>
      </c>
      <c r="M293" s="88">
        <f t="shared" si="57"/>
        <v>0</v>
      </c>
      <c r="N293" s="88">
        <f t="shared" si="57"/>
        <v>225203.78</v>
      </c>
      <c r="O293" s="88">
        <f t="shared" si="57"/>
        <v>4321976.2200000007</v>
      </c>
      <c r="P293" s="88">
        <f t="shared" si="57"/>
        <v>0</v>
      </c>
      <c r="Q293" s="94" t="s">
        <v>40</v>
      </c>
      <c r="R293" s="100" t="s">
        <v>40</v>
      </c>
      <c r="S293" s="103" t="s">
        <v>40</v>
      </c>
    </row>
    <row r="294" spans="1:19" s="1" customFormat="1" ht="15.75" customHeight="1">
      <c r="A294" s="95"/>
      <c r="B294" s="299" t="s">
        <v>614</v>
      </c>
      <c r="C294" s="299"/>
      <c r="D294" s="299"/>
      <c r="E294" s="299"/>
      <c r="F294" s="299"/>
      <c r="G294" s="299"/>
      <c r="H294" s="94">
        <f>H295+H296</f>
        <v>6127.8</v>
      </c>
      <c r="I294" s="94">
        <f t="shared" ref="I294:P294" si="58">I295+I296</f>
        <v>6127.8</v>
      </c>
      <c r="J294" s="94">
        <f t="shared" si="58"/>
        <v>4997.6000000000004</v>
      </c>
      <c r="K294" s="106">
        <f t="shared" si="58"/>
        <v>205</v>
      </c>
      <c r="L294" s="88">
        <f t="shared" si="58"/>
        <v>4547180</v>
      </c>
      <c r="M294" s="88">
        <f t="shared" si="58"/>
        <v>0</v>
      </c>
      <c r="N294" s="88">
        <f t="shared" si="58"/>
        <v>225203.78</v>
      </c>
      <c r="O294" s="88">
        <f t="shared" si="58"/>
        <v>4321976.2200000007</v>
      </c>
      <c r="P294" s="88">
        <f t="shared" si="58"/>
        <v>0</v>
      </c>
      <c r="Q294" s="94" t="s">
        <v>40</v>
      </c>
      <c r="R294" s="94" t="s">
        <v>40</v>
      </c>
      <c r="S294" s="94" t="s">
        <v>40</v>
      </c>
    </row>
    <row r="295" spans="1:19" s="1" customFormat="1" ht="15.75">
      <c r="A295" s="95">
        <f>A292+1</f>
        <v>260</v>
      </c>
      <c r="B295" s="96" t="s">
        <v>424</v>
      </c>
      <c r="C295" s="95">
        <v>1984</v>
      </c>
      <c r="D295" s="97"/>
      <c r="E295" s="98" t="s">
        <v>145</v>
      </c>
      <c r="F295" s="97">
        <v>3</v>
      </c>
      <c r="G295" s="97">
        <v>3</v>
      </c>
      <c r="H295" s="100">
        <v>1227.5</v>
      </c>
      <c r="I295" s="100">
        <v>1227.5</v>
      </c>
      <c r="J295" s="100">
        <v>689.8</v>
      </c>
      <c r="K295" s="101">
        <v>44</v>
      </c>
      <c r="L295" s="88">
        <f>O295+N295</f>
        <v>1270577</v>
      </c>
      <c r="M295" s="88">
        <v>0</v>
      </c>
      <c r="N295" s="88">
        <v>0</v>
      </c>
      <c r="O295" s="88">
        <v>1270577</v>
      </c>
      <c r="P295" s="88">
        <v>0</v>
      </c>
      <c r="Q295" s="100">
        <f>L295/I295</f>
        <v>1035.0932790224033</v>
      </c>
      <c r="R295" s="100">
        <v>6774</v>
      </c>
      <c r="S295" s="103">
        <v>42735</v>
      </c>
    </row>
    <row r="296" spans="1:19" s="1" customFormat="1" ht="31.5">
      <c r="A296" s="95">
        <f t="shared" si="50"/>
        <v>261</v>
      </c>
      <c r="B296" s="96" t="s">
        <v>425</v>
      </c>
      <c r="C296" s="97">
        <v>1991</v>
      </c>
      <c r="D296" s="97"/>
      <c r="E296" s="98" t="s">
        <v>143</v>
      </c>
      <c r="F296" s="97">
        <v>5</v>
      </c>
      <c r="G296" s="97">
        <v>6</v>
      </c>
      <c r="H296" s="100">
        <v>4900.3</v>
      </c>
      <c r="I296" s="100">
        <v>4900.3</v>
      </c>
      <c r="J296" s="100">
        <v>4307.8</v>
      </c>
      <c r="K296" s="101">
        <v>161</v>
      </c>
      <c r="L296" s="88">
        <f>N296+O296</f>
        <v>3276603</v>
      </c>
      <c r="M296" s="88">
        <v>0</v>
      </c>
      <c r="N296" s="88">
        <v>225203.78</v>
      </c>
      <c r="O296" s="88">
        <v>3051399.22</v>
      </c>
      <c r="P296" s="88">
        <v>0</v>
      </c>
      <c r="Q296" s="100">
        <f>L296/I296</f>
        <v>668.6535518233577</v>
      </c>
      <c r="R296" s="100">
        <v>6774</v>
      </c>
      <c r="S296" s="103">
        <v>42735</v>
      </c>
    </row>
    <row r="297" spans="1:19" s="1" customFormat="1" ht="15.75">
      <c r="A297" s="95"/>
      <c r="B297" s="300" t="s">
        <v>50</v>
      </c>
      <c r="C297" s="300"/>
      <c r="D297" s="300"/>
      <c r="E297" s="300"/>
      <c r="F297" s="300"/>
      <c r="G297" s="300"/>
      <c r="H297" s="94">
        <f>H302+H298+H305+H307+H310</f>
        <v>18214</v>
      </c>
      <c r="I297" s="94">
        <f t="shared" ref="I297:P297" si="59">I302+I298+I305+I307+I310</f>
        <v>14717.37</v>
      </c>
      <c r="J297" s="94">
        <f t="shared" si="59"/>
        <v>12099.67</v>
      </c>
      <c r="K297" s="106">
        <f t="shared" si="59"/>
        <v>719</v>
      </c>
      <c r="L297" s="88">
        <f t="shared" si="59"/>
        <v>12209518</v>
      </c>
      <c r="M297" s="88">
        <f t="shared" si="59"/>
        <v>0</v>
      </c>
      <c r="N297" s="88">
        <f>N302+N298+N305+N307+N310</f>
        <v>954512.46000000008</v>
      </c>
      <c r="O297" s="88">
        <f t="shared" si="59"/>
        <v>11255005.539999999</v>
      </c>
      <c r="P297" s="88">
        <f t="shared" si="59"/>
        <v>0</v>
      </c>
      <c r="Q297" s="94" t="s">
        <v>40</v>
      </c>
      <c r="R297" s="100" t="s">
        <v>40</v>
      </c>
      <c r="S297" s="103" t="s">
        <v>40</v>
      </c>
    </row>
    <row r="298" spans="1:19" s="1" customFormat="1" ht="15.75">
      <c r="A298" s="95"/>
      <c r="B298" s="300" t="s">
        <v>615</v>
      </c>
      <c r="C298" s="300"/>
      <c r="D298" s="300"/>
      <c r="E298" s="300"/>
      <c r="F298" s="300"/>
      <c r="G298" s="300"/>
      <c r="H298" s="94">
        <f>SUM(H299:H301)</f>
        <v>6651.2000000000007</v>
      </c>
      <c r="I298" s="94">
        <f>SUM(I299:I301)</f>
        <v>4477.37</v>
      </c>
      <c r="J298" s="94">
        <f t="shared" ref="J298:M298" si="60">SUM(J299:J301)</f>
        <v>2843.37</v>
      </c>
      <c r="K298" s="106">
        <f t="shared" si="60"/>
        <v>269</v>
      </c>
      <c r="L298" s="88">
        <f t="shared" si="60"/>
        <v>4447999</v>
      </c>
      <c r="M298" s="88">
        <f t="shared" si="60"/>
        <v>0</v>
      </c>
      <c r="N298" s="88">
        <f t="shared" ref="N298" si="61">SUM(N299:N301)</f>
        <v>194146.67000000004</v>
      </c>
      <c r="O298" s="88">
        <f t="shared" ref="O298:P298" si="62">SUM(O299:O301)</f>
        <v>4253852.33</v>
      </c>
      <c r="P298" s="88">
        <f t="shared" si="62"/>
        <v>0</v>
      </c>
      <c r="Q298" s="94" t="s">
        <v>40</v>
      </c>
      <c r="R298" s="94" t="s">
        <v>40</v>
      </c>
      <c r="S298" s="94" t="s">
        <v>40</v>
      </c>
    </row>
    <row r="299" spans="1:19" s="1" customFormat="1" ht="15.75">
      <c r="A299" s="95">
        <f>A296+1</f>
        <v>262</v>
      </c>
      <c r="B299" s="139" t="s">
        <v>428</v>
      </c>
      <c r="C299" s="95">
        <v>1961</v>
      </c>
      <c r="D299" s="97"/>
      <c r="E299" s="98" t="s">
        <v>146</v>
      </c>
      <c r="F299" s="99">
        <v>2</v>
      </c>
      <c r="G299" s="99">
        <v>1</v>
      </c>
      <c r="H299" s="89">
        <v>505.4</v>
      </c>
      <c r="I299" s="86">
        <v>474.2</v>
      </c>
      <c r="J299" s="140">
        <v>474.2</v>
      </c>
      <c r="K299" s="141">
        <v>18</v>
      </c>
      <c r="L299" s="88">
        <v>1020965</v>
      </c>
      <c r="M299" s="88">
        <v>0</v>
      </c>
      <c r="N299" s="88">
        <f>L299-O299</f>
        <v>194146.67000000004</v>
      </c>
      <c r="O299" s="88">
        <v>826818.33</v>
      </c>
      <c r="P299" s="88">
        <f>SUM(P305:P305)</f>
        <v>0</v>
      </c>
      <c r="Q299" s="100">
        <f>L299/I299</f>
        <v>2153.0261493040912</v>
      </c>
      <c r="R299" s="100">
        <v>6774</v>
      </c>
      <c r="S299" s="103">
        <v>42674</v>
      </c>
    </row>
    <row r="300" spans="1:19" s="1" customFormat="1" ht="15.75">
      <c r="A300" s="95">
        <f t="shared" si="50"/>
        <v>263</v>
      </c>
      <c r="B300" s="139" t="s">
        <v>427</v>
      </c>
      <c r="C300" s="95">
        <v>1995</v>
      </c>
      <c r="D300" s="97"/>
      <c r="E300" s="98" t="s">
        <v>144</v>
      </c>
      <c r="F300" s="99">
        <v>3</v>
      </c>
      <c r="G300" s="99">
        <v>2</v>
      </c>
      <c r="H300" s="89">
        <v>1604.7</v>
      </c>
      <c r="I300" s="86">
        <v>1433.77</v>
      </c>
      <c r="J300" s="140">
        <v>1433.77</v>
      </c>
      <c r="K300" s="141">
        <v>56</v>
      </c>
      <c r="L300" s="88">
        <v>1328646</v>
      </c>
      <c r="M300" s="88">
        <v>0</v>
      </c>
      <c r="N300" s="88">
        <v>0</v>
      </c>
      <c r="O300" s="88">
        <f>L300</f>
        <v>1328646</v>
      </c>
      <c r="P300" s="88">
        <f>SUM(P301:P302)</f>
        <v>0</v>
      </c>
      <c r="Q300" s="100">
        <f>L300/I300</f>
        <v>926.6800114383758</v>
      </c>
      <c r="R300" s="100">
        <v>6774</v>
      </c>
      <c r="S300" s="103">
        <v>42674</v>
      </c>
    </row>
    <row r="301" spans="1:19" s="1" customFormat="1" ht="31.5">
      <c r="A301" s="95">
        <f t="shared" si="50"/>
        <v>264</v>
      </c>
      <c r="B301" s="139" t="s">
        <v>426</v>
      </c>
      <c r="C301" s="95">
        <v>1985</v>
      </c>
      <c r="D301" s="97"/>
      <c r="E301" s="98" t="s">
        <v>143</v>
      </c>
      <c r="F301" s="99">
        <v>5</v>
      </c>
      <c r="G301" s="99">
        <v>1</v>
      </c>
      <c r="H301" s="89">
        <v>4541.1000000000004</v>
      </c>
      <c r="I301" s="86">
        <v>2569.4</v>
      </c>
      <c r="J301" s="140">
        <v>935.4</v>
      </c>
      <c r="K301" s="141">
        <v>195</v>
      </c>
      <c r="L301" s="88">
        <v>2098388</v>
      </c>
      <c r="M301" s="88">
        <v>0</v>
      </c>
      <c r="N301" s="88">
        <v>0</v>
      </c>
      <c r="O301" s="88">
        <f>L301</f>
        <v>2098388</v>
      </c>
      <c r="P301" s="88">
        <f>SUM(P302:P309)</f>
        <v>0</v>
      </c>
      <c r="Q301" s="100">
        <f>L301/I301</f>
        <v>816.68405075114811</v>
      </c>
      <c r="R301" s="100">
        <v>6774</v>
      </c>
      <c r="S301" s="103">
        <v>42674</v>
      </c>
    </row>
    <row r="302" spans="1:19" s="1" customFormat="1" ht="15.75">
      <c r="A302" s="95"/>
      <c r="B302" s="300" t="s">
        <v>616</v>
      </c>
      <c r="C302" s="300"/>
      <c r="D302" s="300"/>
      <c r="E302" s="300"/>
      <c r="F302" s="300"/>
      <c r="G302" s="300"/>
      <c r="H302" s="94">
        <f>SUM(H303:H304)</f>
        <v>923.3</v>
      </c>
      <c r="I302" s="94">
        <f t="shared" ref="I302:P302" si="63">SUM(I303:I304)</f>
        <v>873.2</v>
      </c>
      <c r="J302" s="94">
        <f t="shared" si="63"/>
        <v>588.20000000000005</v>
      </c>
      <c r="K302" s="106">
        <f t="shared" si="63"/>
        <v>51</v>
      </c>
      <c r="L302" s="88">
        <f t="shared" si="63"/>
        <v>1620675</v>
      </c>
      <c r="M302" s="88">
        <f t="shared" si="63"/>
        <v>0</v>
      </c>
      <c r="N302" s="88">
        <f t="shared" si="63"/>
        <v>0</v>
      </c>
      <c r="O302" s="88">
        <f t="shared" si="63"/>
        <v>1620675</v>
      </c>
      <c r="P302" s="88">
        <f t="shared" si="63"/>
        <v>0</v>
      </c>
      <c r="Q302" s="94" t="s">
        <v>40</v>
      </c>
      <c r="R302" s="94" t="s">
        <v>40</v>
      </c>
      <c r="S302" s="94" t="s">
        <v>40</v>
      </c>
    </row>
    <row r="303" spans="1:19" s="19" customFormat="1" ht="31.5">
      <c r="A303" s="95">
        <f>A301+1</f>
        <v>265</v>
      </c>
      <c r="B303" s="142" t="s">
        <v>429</v>
      </c>
      <c r="C303" s="91" t="s">
        <v>77</v>
      </c>
      <c r="D303" s="91"/>
      <c r="E303" s="98" t="s">
        <v>143</v>
      </c>
      <c r="F303" s="91">
        <v>2</v>
      </c>
      <c r="G303" s="91">
        <v>2</v>
      </c>
      <c r="H303" s="92">
        <v>506</v>
      </c>
      <c r="I303" s="92">
        <v>478.6</v>
      </c>
      <c r="J303" s="92">
        <v>319.8</v>
      </c>
      <c r="K303" s="93">
        <v>35</v>
      </c>
      <c r="L303" s="88">
        <v>902900</v>
      </c>
      <c r="M303" s="88">
        <v>0</v>
      </c>
      <c r="N303" s="88">
        <v>0</v>
      </c>
      <c r="O303" s="88">
        <f>L303</f>
        <v>902900</v>
      </c>
      <c r="P303" s="88">
        <v>0</v>
      </c>
      <c r="Q303" s="92">
        <f>L303/I303</f>
        <v>1886.5440869201839</v>
      </c>
      <c r="R303" s="100">
        <v>6774</v>
      </c>
      <c r="S303" s="103">
        <v>42735</v>
      </c>
    </row>
    <row r="304" spans="1:19" s="19" customFormat="1" ht="31.5">
      <c r="A304" s="95">
        <f t="shared" si="50"/>
        <v>266</v>
      </c>
      <c r="B304" s="142" t="s">
        <v>430</v>
      </c>
      <c r="C304" s="91">
        <v>1950</v>
      </c>
      <c r="D304" s="91"/>
      <c r="E304" s="98" t="s">
        <v>148</v>
      </c>
      <c r="F304" s="91">
        <v>2</v>
      </c>
      <c r="G304" s="91">
        <v>2</v>
      </c>
      <c r="H304" s="92">
        <v>417.3</v>
      </c>
      <c r="I304" s="92">
        <v>394.6</v>
      </c>
      <c r="J304" s="92">
        <v>268.39999999999998</v>
      </c>
      <c r="K304" s="93">
        <v>16</v>
      </c>
      <c r="L304" s="88">
        <v>717775</v>
      </c>
      <c r="M304" s="88">
        <v>0</v>
      </c>
      <c r="N304" s="88">
        <v>0</v>
      </c>
      <c r="O304" s="88">
        <f>L304</f>
        <v>717775</v>
      </c>
      <c r="P304" s="88">
        <v>0</v>
      </c>
      <c r="Q304" s="92">
        <f>L304/I304</f>
        <v>1818.9939178915356</v>
      </c>
      <c r="R304" s="100">
        <v>6774</v>
      </c>
      <c r="S304" s="103">
        <v>42735</v>
      </c>
    </row>
    <row r="305" spans="1:19" s="1" customFormat="1" ht="15.75" customHeight="1">
      <c r="A305" s="95"/>
      <c r="B305" s="319" t="s">
        <v>617</v>
      </c>
      <c r="C305" s="319"/>
      <c r="D305" s="319"/>
      <c r="E305" s="319"/>
      <c r="F305" s="319"/>
      <c r="G305" s="319"/>
      <c r="H305" s="89">
        <f>H306</f>
        <v>3146.8</v>
      </c>
      <c r="I305" s="89">
        <f t="shared" ref="I305:P305" si="64">I306</f>
        <v>2845.7</v>
      </c>
      <c r="J305" s="89">
        <f t="shared" si="64"/>
        <v>2845.7</v>
      </c>
      <c r="K305" s="143">
        <f t="shared" si="64"/>
        <v>122</v>
      </c>
      <c r="L305" s="88">
        <f t="shared" si="64"/>
        <v>1699514</v>
      </c>
      <c r="M305" s="88">
        <f t="shared" si="64"/>
        <v>0</v>
      </c>
      <c r="N305" s="88">
        <f>N306</f>
        <v>236439</v>
      </c>
      <c r="O305" s="88">
        <f t="shared" si="64"/>
        <v>1463075</v>
      </c>
      <c r="P305" s="88">
        <f t="shared" si="64"/>
        <v>0</v>
      </c>
      <c r="Q305" s="100" t="s">
        <v>40</v>
      </c>
      <c r="R305" s="100" t="s">
        <v>40</v>
      </c>
      <c r="S305" s="105" t="s">
        <v>40</v>
      </c>
    </row>
    <row r="306" spans="1:19" s="1" customFormat="1" ht="31.5">
      <c r="A306" s="95">
        <f>A304+1</f>
        <v>267</v>
      </c>
      <c r="B306" s="139" t="s">
        <v>431</v>
      </c>
      <c r="C306" s="95">
        <v>1980</v>
      </c>
      <c r="D306" s="97"/>
      <c r="E306" s="98" t="s">
        <v>143</v>
      </c>
      <c r="F306" s="97">
        <v>5</v>
      </c>
      <c r="G306" s="97">
        <v>4</v>
      </c>
      <c r="H306" s="89">
        <v>3146.8</v>
      </c>
      <c r="I306" s="86">
        <v>2845.7</v>
      </c>
      <c r="J306" s="140">
        <v>2845.7</v>
      </c>
      <c r="K306" s="141">
        <v>122</v>
      </c>
      <c r="L306" s="88">
        <v>1699514</v>
      </c>
      <c r="M306" s="88">
        <v>0</v>
      </c>
      <c r="N306" s="88">
        <f>L306-O306</f>
        <v>236439</v>
      </c>
      <c r="O306" s="88">
        <v>1463075</v>
      </c>
      <c r="P306" s="88">
        <v>0</v>
      </c>
      <c r="Q306" s="100">
        <f>L306/I306</f>
        <v>597.2217732016727</v>
      </c>
      <c r="R306" s="100">
        <v>6774</v>
      </c>
      <c r="S306" s="103">
        <v>42735</v>
      </c>
    </row>
    <row r="307" spans="1:19" s="1" customFormat="1" ht="15.75" customHeight="1">
      <c r="A307" s="95"/>
      <c r="B307" s="299" t="s">
        <v>618</v>
      </c>
      <c r="C307" s="299"/>
      <c r="D307" s="299"/>
      <c r="E307" s="299"/>
      <c r="F307" s="299"/>
      <c r="G307" s="299"/>
      <c r="H307" s="94">
        <f>H308+H309</f>
        <v>2472.8000000000002</v>
      </c>
      <c r="I307" s="94">
        <f t="shared" ref="I307:P307" si="65">I308+I309</f>
        <v>1948.6</v>
      </c>
      <c r="J307" s="94">
        <f t="shared" si="65"/>
        <v>1835.3</v>
      </c>
      <c r="K307" s="106">
        <f t="shared" si="65"/>
        <v>81</v>
      </c>
      <c r="L307" s="88">
        <f t="shared" si="65"/>
        <v>1995924</v>
      </c>
      <c r="M307" s="88">
        <f t="shared" si="65"/>
        <v>0</v>
      </c>
      <c r="N307" s="88">
        <f t="shared" si="65"/>
        <v>0</v>
      </c>
      <c r="O307" s="88">
        <f>O308+O309</f>
        <v>1995924</v>
      </c>
      <c r="P307" s="88">
        <f t="shared" si="65"/>
        <v>0</v>
      </c>
      <c r="Q307" s="94" t="s">
        <v>40</v>
      </c>
      <c r="R307" s="94" t="s">
        <v>40</v>
      </c>
      <c r="S307" s="94" t="s">
        <v>40</v>
      </c>
    </row>
    <row r="308" spans="1:19" s="19" customFormat="1" ht="31.5">
      <c r="A308" s="95">
        <f>A306+1</f>
        <v>268</v>
      </c>
      <c r="B308" s="142" t="s">
        <v>432</v>
      </c>
      <c r="C308" s="91">
        <v>1972</v>
      </c>
      <c r="D308" s="91"/>
      <c r="E308" s="98" t="s">
        <v>145</v>
      </c>
      <c r="F308" s="91">
        <v>2</v>
      </c>
      <c r="G308" s="91">
        <v>2</v>
      </c>
      <c r="H308" s="92">
        <v>750.8</v>
      </c>
      <c r="I308" s="92">
        <v>546</v>
      </c>
      <c r="J308" s="92">
        <v>432.7</v>
      </c>
      <c r="K308" s="93">
        <v>30</v>
      </c>
      <c r="L308" s="88">
        <v>815875</v>
      </c>
      <c r="M308" s="88">
        <v>0</v>
      </c>
      <c r="N308" s="88">
        <v>0</v>
      </c>
      <c r="O308" s="88">
        <f>L308</f>
        <v>815875</v>
      </c>
      <c r="P308" s="88">
        <v>0</v>
      </c>
      <c r="Q308" s="92">
        <f>L308/I308</f>
        <v>1494.2765567765568</v>
      </c>
      <c r="R308" s="100">
        <v>6774</v>
      </c>
      <c r="S308" s="103">
        <v>42735</v>
      </c>
    </row>
    <row r="309" spans="1:19" s="19" customFormat="1" ht="31.5">
      <c r="A309" s="95">
        <f t="shared" si="50"/>
        <v>269</v>
      </c>
      <c r="B309" s="142" t="s">
        <v>433</v>
      </c>
      <c r="C309" s="91">
        <v>1982</v>
      </c>
      <c r="D309" s="91"/>
      <c r="E309" s="98" t="s">
        <v>145</v>
      </c>
      <c r="F309" s="91">
        <v>3</v>
      </c>
      <c r="G309" s="91">
        <v>3</v>
      </c>
      <c r="H309" s="92">
        <v>1722</v>
      </c>
      <c r="I309" s="92">
        <v>1402.6</v>
      </c>
      <c r="J309" s="92">
        <v>1402.6</v>
      </c>
      <c r="K309" s="93">
        <v>51</v>
      </c>
      <c r="L309" s="88">
        <v>1180049</v>
      </c>
      <c r="M309" s="88">
        <v>0</v>
      </c>
      <c r="N309" s="88">
        <v>0</v>
      </c>
      <c r="O309" s="88">
        <f>L309</f>
        <v>1180049</v>
      </c>
      <c r="P309" s="88">
        <v>0</v>
      </c>
      <c r="Q309" s="92">
        <f>L309/I309</f>
        <v>841.3296734635677</v>
      </c>
      <c r="R309" s="100">
        <v>6774</v>
      </c>
      <c r="S309" s="103">
        <v>42735</v>
      </c>
    </row>
    <row r="310" spans="1:19" s="19" customFormat="1" ht="15.75" customHeight="1">
      <c r="A310" s="95"/>
      <c r="B310" s="299" t="s">
        <v>619</v>
      </c>
      <c r="C310" s="299"/>
      <c r="D310" s="299"/>
      <c r="E310" s="299"/>
      <c r="F310" s="299"/>
      <c r="G310" s="299"/>
      <c r="H310" s="92">
        <f>H311</f>
        <v>5019.8999999999996</v>
      </c>
      <c r="I310" s="92">
        <f t="shared" ref="I310:P310" si="66">I311</f>
        <v>4572.5</v>
      </c>
      <c r="J310" s="92">
        <f t="shared" si="66"/>
        <v>3987.1</v>
      </c>
      <c r="K310" s="93">
        <f t="shared" si="66"/>
        <v>196</v>
      </c>
      <c r="L310" s="88">
        <f t="shared" si="66"/>
        <v>2445406</v>
      </c>
      <c r="M310" s="88">
        <f t="shared" si="66"/>
        <v>0</v>
      </c>
      <c r="N310" s="88">
        <f t="shared" si="66"/>
        <v>523926.79000000004</v>
      </c>
      <c r="O310" s="88">
        <f t="shared" si="66"/>
        <v>1921479.21</v>
      </c>
      <c r="P310" s="88">
        <f t="shared" si="66"/>
        <v>0</v>
      </c>
      <c r="Q310" s="92" t="s">
        <v>40</v>
      </c>
      <c r="R310" s="91" t="s">
        <v>40</v>
      </c>
      <c r="S310" s="108" t="s">
        <v>40</v>
      </c>
    </row>
    <row r="311" spans="1:19" s="1" customFormat="1" ht="31.5">
      <c r="A311" s="95">
        <f>A309+1</f>
        <v>270</v>
      </c>
      <c r="B311" s="144" t="s">
        <v>434</v>
      </c>
      <c r="C311" s="145">
        <v>1981</v>
      </c>
      <c r="D311" s="145"/>
      <c r="E311" s="98" t="s">
        <v>144</v>
      </c>
      <c r="F311" s="145">
        <v>5</v>
      </c>
      <c r="G311" s="145">
        <v>6</v>
      </c>
      <c r="H311" s="136">
        <v>5019.8999999999996</v>
      </c>
      <c r="I311" s="136">
        <v>4572.5</v>
      </c>
      <c r="J311" s="136">
        <v>3987.1</v>
      </c>
      <c r="K311" s="137">
        <v>196</v>
      </c>
      <c r="L311" s="88">
        <v>2445406</v>
      </c>
      <c r="M311" s="88">
        <v>0</v>
      </c>
      <c r="N311" s="88">
        <f>L311-O311</f>
        <v>523926.79000000004</v>
      </c>
      <c r="O311" s="88">
        <v>1921479.21</v>
      </c>
      <c r="P311" s="88">
        <v>0</v>
      </c>
      <c r="Q311" s="92">
        <f>L311/I311</f>
        <v>534.80721705850192</v>
      </c>
      <c r="R311" s="100">
        <v>6774</v>
      </c>
      <c r="S311" s="103">
        <v>42735</v>
      </c>
    </row>
    <row r="312" spans="1:19" s="1" customFormat="1" ht="15.75">
      <c r="A312" s="95"/>
      <c r="B312" s="300" t="s">
        <v>51</v>
      </c>
      <c r="C312" s="300"/>
      <c r="D312" s="300"/>
      <c r="E312" s="300"/>
      <c r="F312" s="300"/>
      <c r="G312" s="300"/>
      <c r="H312" s="94">
        <f>H313</f>
        <v>972.3</v>
      </c>
      <c r="I312" s="94">
        <f t="shared" ref="I312:P312" si="67">I313</f>
        <v>876.2</v>
      </c>
      <c r="J312" s="94">
        <f t="shared" si="67"/>
        <v>830</v>
      </c>
      <c r="K312" s="106">
        <f t="shared" si="67"/>
        <v>27</v>
      </c>
      <c r="L312" s="88">
        <f t="shared" si="67"/>
        <v>1628671</v>
      </c>
      <c r="M312" s="88">
        <f t="shared" si="67"/>
        <v>0</v>
      </c>
      <c r="N312" s="88">
        <f t="shared" si="67"/>
        <v>0</v>
      </c>
      <c r="O312" s="88">
        <f t="shared" si="67"/>
        <v>1628671</v>
      </c>
      <c r="P312" s="88">
        <f t="shared" si="67"/>
        <v>0</v>
      </c>
      <c r="Q312" s="94" t="s">
        <v>40</v>
      </c>
      <c r="R312" s="94" t="s">
        <v>40</v>
      </c>
      <c r="S312" s="94" t="s">
        <v>40</v>
      </c>
    </row>
    <row r="313" spans="1:19" s="1" customFormat="1" ht="15.75">
      <c r="A313" s="95"/>
      <c r="B313" s="300" t="s">
        <v>660</v>
      </c>
      <c r="C313" s="300"/>
      <c r="D313" s="300"/>
      <c r="E313" s="300"/>
      <c r="F313" s="300"/>
      <c r="G313" s="300"/>
      <c r="H313" s="94">
        <f>H314+H315</f>
        <v>972.3</v>
      </c>
      <c r="I313" s="94">
        <f t="shared" ref="I313:P313" si="68">I314+I315</f>
        <v>876.2</v>
      </c>
      <c r="J313" s="94">
        <f t="shared" si="68"/>
        <v>830</v>
      </c>
      <c r="K313" s="106">
        <f t="shared" si="68"/>
        <v>27</v>
      </c>
      <c r="L313" s="88">
        <f t="shared" si="68"/>
        <v>1628671</v>
      </c>
      <c r="M313" s="88">
        <f t="shared" si="68"/>
        <v>0</v>
      </c>
      <c r="N313" s="88">
        <f t="shared" si="68"/>
        <v>0</v>
      </c>
      <c r="O313" s="88">
        <f>O314+O315</f>
        <v>1628671</v>
      </c>
      <c r="P313" s="88">
        <f t="shared" si="68"/>
        <v>0</v>
      </c>
      <c r="Q313" s="94" t="s">
        <v>40</v>
      </c>
      <c r="R313" s="94" t="s">
        <v>40</v>
      </c>
      <c r="S313" s="94" t="s">
        <v>40</v>
      </c>
    </row>
    <row r="314" spans="1:19" s="1" customFormat="1" ht="15.75">
      <c r="A314" s="95">
        <f>A311+1</f>
        <v>271</v>
      </c>
      <c r="B314" s="142" t="s">
        <v>666</v>
      </c>
      <c r="C314" s="97">
        <v>1959</v>
      </c>
      <c r="D314" s="146"/>
      <c r="E314" s="98" t="s">
        <v>148</v>
      </c>
      <c r="F314" s="97">
        <v>2</v>
      </c>
      <c r="G314" s="97">
        <v>2</v>
      </c>
      <c r="H314" s="100">
        <v>466.2</v>
      </c>
      <c r="I314" s="100">
        <v>417</v>
      </c>
      <c r="J314" s="100">
        <v>370.8</v>
      </c>
      <c r="K314" s="101">
        <v>15</v>
      </c>
      <c r="L314" s="88">
        <v>738839</v>
      </c>
      <c r="M314" s="88">
        <v>0</v>
      </c>
      <c r="N314" s="88">
        <v>0</v>
      </c>
      <c r="O314" s="88">
        <v>738839</v>
      </c>
      <c r="P314" s="88">
        <v>0</v>
      </c>
      <c r="Q314" s="100">
        <f>L314/I314</f>
        <v>1771.7961630695443</v>
      </c>
      <c r="R314" s="100">
        <v>6774</v>
      </c>
      <c r="S314" s="103">
        <v>42735</v>
      </c>
    </row>
    <row r="315" spans="1:19" s="1" customFormat="1" ht="31.5">
      <c r="A315" s="95">
        <f t="shared" si="50"/>
        <v>272</v>
      </c>
      <c r="B315" s="96" t="s">
        <v>667</v>
      </c>
      <c r="C315" s="97">
        <v>1959</v>
      </c>
      <c r="D315" s="146"/>
      <c r="E315" s="98" t="s">
        <v>143</v>
      </c>
      <c r="F315" s="97">
        <v>2</v>
      </c>
      <c r="G315" s="97">
        <v>1</v>
      </c>
      <c r="H315" s="100">
        <v>506.1</v>
      </c>
      <c r="I315" s="100">
        <v>459.2</v>
      </c>
      <c r="J315" s="100">
        <v>459.2</v>
      </c>
      <c r="K315" s="101">
        <v>12</v>
      </c>
      <c r="L315" s="88">
        <v>889832</v>
      </c>
      <c r="M315" s="88">
        <v>0</v>
      </c>
      <c r="N315" s="88">
        <v>0</v>
      </c>
      <c r="O315" s="88">
        <f>L315</f>
        <v>889832</v>
      </c>
      <c r="P315" s="88">
        <v>0</v>
      </c>
      <c r="Q315" s="100">
        <f>L315/I315</f>
        <v>1937.787456445993</v>
      </c>
      <c r="R315" s="100">
        <v>6774</v>
      </c>
      <c r="S315" s="103">
        <v>42735</v>
      </c>
    </row>
    <row r="316" spans="1:19" s="1" customFormat="1" ht="15.75">
      <c r="A316" s="95"/>
      <c r="B316" s="300" t="s">
        <v>52</v>
      </c>
      <c r="C316" s="300"/>
      <c r="D316" s="300"/>
      <c r="E316" s="300"/>
      <c r="F316" s="300"/>
      <c r="G316" s="300"/>
      <c r="H316" s="94">
        <f>H317</f>
        <v>3325.8</v>
      </c>
      <c r="I316" s="94">
        <f t="shared" ref="I316:P316" si="69">I317</f>
        <v>2948.5</v>
      </c>
      <c r="J316" s="94">
        <f t="shared" si="69"/>
        <v>2948.5</v>
      </c>
      <c r="K316" s="106">
        <f t="shared" si="69"/>
        <v>111</v>
      </c>
      <c r="L316" s="88">
        <f t="shared" si="69"/>
        <v>4056938</v>
      </c>
      <c r="M316" s="88">
        <f>M317</f>
        <v>0</v>
      </c>
      <c r="N316" s="88">
        <f t="shared" si="69"/>
        <v>689834.26</v>
      </c>
      <c r="O316" s="88">
        <f t="shared" si="69"/>
        <v>3367103.7399999998</v>
      </c>
      <c r="P316" s="88">
        <f t="shared" si="69"/>
        <v>0</v>
      </c>
      <c r="Q316" s="94" t="s">
        <v>40</v>
      </c>
      <c r="R316" s="100" t="s">
        <v>40</v>
      </c>
      <c r="S316" s="103" t="s">
        <v>40</v>
      </c>
    </row>
    <row r="317" spans="1:19" s="1" customFormat="1" ht="15.75">
      <c r="A317" s="95"/>
      <c r="B317" s="300" t="s">
        <v>620</v>
      </c>
      <c r="C317" s="300"/>
      <c r="D317" s="300"/>
      <c r="E317" s="300"/>
      <c r="F317" s="300"/>
      <c r="G317" s="300"/>
      <c r="H317" s="94">
        <f>SUM(H318:H321)</f>
        <v>3325.8</v>
      </c>
      <c r="I317" s="94">
        <f t="shared" ref="I317:P317" si="70">SUM(I318:I321)</f>
        <v>2948.5</v>
      </c>
      <c r="J317" s="94">
        <f t="shared" si="70"/>
        <v>2948.5</v>
      </c>
      <c r="K317" s="106">
        <f t="shared" si="70"/>
        <v>111</v>
      </c>
      <c r="L317" s="88">
        <f t="shared" si="70"/>
        <v>4056938</v>
      </c>
      <c r="M317" s="88">
        <f>SUM(M318:M321)</f>
        <v>0</v>
      </c>
      <c r="N317" s="88">
        <f t="shared" si="70"/>
        <v>689834.26</v>
      </c>
      <c r="O317" s="88">
        <f t="shared" si="70"/>
        <v>3367103.7399999998</v>
      </c>
      <c r="P317" s="88">
        <f t="shared" si="70"/>
        <v>0</v>
      </c>
      <c r="Q317" s="94" t="s">
        <v>40</v>
      </c>
      <c r="R317" s="94" t="s">
        <v>40</v>
      </c>
      <c r="S317" s="94" t="s">
        <v>40</v>
      </c>
    </row>
    <row r="318" spans="1:19" s="1" customFormat="1" ht="31.5">
      <c r="A318" s="95">
        <f>A315+1</f>
        <v>273</v>
      </c>
      <c r="B318" s="96" t="s">
        <v>435</v>
      </c>
      <c r="C318" s="108" t="s">
        <v>44</v>
      </c>
      <c r="D318" s="108"/>
      <c r="E318" s="98" t="s">
        <v>143</v>
      </c>
      <c r="F318" s="97">
        <v>2</v>
      </c>
      <c r="G318" s="97">
        <v>2</v>
      </c>
      <c r="H318" s="89">
        <v>425.2</v>
      </c>
      <c r="I318" s="89">
        <v>374.5</v>
      </c>
      <c r="J318" s="89">
        <v>374.5</v>
      </c>
      <c r="K318" s="101">
        <v>21</v>
      </c>
      <c r="L318" s="88">
        <v>716871</v>
      </c>
      <c r="M318" s="88">
        <v>0</v>
      </c>
      <c r="N318" s="88">
        <v>153374.20000000001</v>
      </c>
      <c r="O318" s="88">
        <v>563496.80000000005</v>
      </c>
      <c r="P318" s="88">
        <f>SUM(P319:P321)</f>
        <v>0</v>
      </c>
      <c r="Q318" s="89">
        <f>L318/I318</f>
        <v>1914.2082777036048</v>
      </c>
      <c r="R318" s="100">
        <v>6774</v>
      </c>
      <c r="S318" s="103">
        <v>42735</v>
      </c>
    </row>
    <row r="319" spans="1:19" s="1" customFormat="1" ht="15.75">
      <c r="A319" s="95">
        <f t="shared" si="50"/>
        <v>274</v>
      </c>
      <c r="B319" s="96" t="s">
        <v>73</v>
      </c>
      <c r="C319" s="108" t="s">
        <v>74</v>
      </c>
      <c r="D319" s="108"/>
      <c r="E319" s="98" t="s">
        <v>144</v>
      </c>
      <c r="F319" s="97">
        <v>3</v>
      </c>
      <c r="G319" s="97">
        <v>2</v>
      </c>
      <c r="H319" s="89">
        <v>933.9</v>
      </c>
      <c r="I319" s="89">
        <v>843.5</v>
      </c>
      <c r="J319" s="89">
        <v>843.5</v>
      </c>
      <c r="K319" s="101">
        <v>36</v>
      </c>
      <c r="L319" s="88">
        <v>1182412</v>
      </c>
      <c r="M319" s="88">
        <v>0</v>
      </c>
      <c r="N319" s="88">
        <v>177361.8</v>
      </c>
      <c r="O319" s="88">
        <v>1005050.2</v>
      </c>
      <c r="P319" s="88">
        <f>SUM(P320:P321)</f>
        <v>0</v>
      </c>
      <c r="Q319" s="89">
        <f t="shared" ref="Q319:Q321" si="71">L319/I319</f>
        <v>1401.7925311203319</v>
      </c>
      <c r="R319" s="100">
        <v>6774</v>
      </c>
      <c r="S319" s="103">
        <v>42735</v>
      </c>
    </row>
    <row r="320" spans="1:19" s="1" customFormat="1" ht="31.5">
      <c r="A320" s="95">
        <f t="shared" si="50"/>
        <v>275</v>
      </c>
      <c r="B320" s="96" t="s">
        <v>436</v>
      </c>
      <c r="C320" s="108" t="s">
        <v>75</v>
      </c>
      <c r="D320" s="108"/>
      <c r="E320" s="98" t="s">
        <v>143</v>
      </c>
      <c r="F320" s="97">
        <v>2</v>
      </c>
      <c r="G320" s="97">
        <v>2</v>
      </c>
      <c r="H320" s="89">
        <v>520.5</v>
      </c>
      <c r="I320" s="89">
        <v>439.5</v>
      </c>
      <c r="J320" s="89">
        <v>439.5</v>
      </c>
      <c r="K320" s="101">
        <v>16</v>
      </c>
      <c r="L320" s="88">
        <v>933776</v>
      </c>
      <c r="M320" s="88">
        <v>0</v>
      </c>
      <c r="N320" s="88">
        <v>187755.2</v>
      </c>
      <c r="O320" s="88">
        <v>746020.8</v>
      </c>
      <c r="P320" s="88">
        <f>SUM(P321:P321)</f>
        <v>0</v>
      </c>
      <c r="Q320" s="89">
        <f t="shared" si="71"/>
        <v>2124.6325369738338</v>
      </c>
      <c r="R320" s="100">
        <v>6774</v>
      </c>
      <c r="S320" s="103">
        <v>42735</v>
      </c>
    </row>
    <row r="321" spans="1:19" s="1" customFormat="1" ht="15.75">
      <c r="A321" s="95">
        <f t="shared" si="50"/>
        <v>276</v>
      </c>
      <c r="B321" s="96" t="s">
        <v>437</v>
      </c>
      <c r="C321" s="108" t="s">
        <v>76</v>
      </c>
      <c r="D321" s="108"/>
      <c r="E321" s="98" t="s">
        <v>144</v>
      </c>
      <c r="F321" s="97">
        <v>3</v>
      </c>
      <c r="G321" s="97">
        <v>3</v>
      </c>
      <c r="H321" s="89">
        <v>1446.2</v>
      </c>
      <c r="I321" s="89">
        <v>1291</v>
      </c>
      <c r="J321" s="89">
        <v>1291</v>
      </c>
      <c r="K321" s="101">
        <v>38</v>
      </c>
      <c r="L321" s="88">
        <v>1223879</v>
      </c>
      <c r="M321" s="88">
        <v>0</v>
      </c>
      <c r="N321" s="88">
        <v>171343.06</v>
      </c>
      <c r="O321" s="88">
        <v>1052535.94</v>
      </c>
      <c r="P321" s="88">
        <f>SUM(P322:P322)</f>
        <v>0</v>
      </c>
      <c r="Q321" s="89">
        <f t="shared" si="71"/>
        <v>948.00852052672349</v>
      </c>
      <c r="R321" s="100">
        <v>6774</v>
      </c>
      <c r="S321" s="103">
        <v>42735</v>
      </c>
    </row>
    <row r="322" spans="1:19" s="1" customFormat="1" ht="15.75">
      <c r="A322" s="95"/>
      <c r="B322" s="300" t="s">
        <v>53</v>
      </c>
      <c r="C322" s="300"/>
      <c r="D322" s="300"/>
      <c r="E322" s="300"/>
      <c r="F322" s="300"/>
      <c r="G322" s="300"/>
      <c r="H322" s="94">
        <f t="shared" ref="H322:P322" si="72">H323+H327</f>
        <v>1384</v>
      </c>
      <c r="I322" s="94">
        <f t="shared" si="72"/>
        <v>1243.1000000000001</v>
      </c>
      <c r="J322" s="94">
        <f t="shared" si="72"/>
        <v>938.4</v>
      </c>
      <c r="K322" s="106">
        <f t="shared" si="72"/>
        <v>63</v>
      </c>
      <c r="L322" s="88">
        <f t="shared" si="72"/>
        <v>3947863</v>
      </c>
      <c r="M322" s="88">
        <f t="shared" si="72"/>
        <v>0</v>
      </c>
      <c r="N322" s="88">
        <f t="shared" si="72"/>
        <v>414501.02</v>
      </c>
      <c r="O322" s="88">
        <f t="shared" si="72"/>
        <v>3533361.98</v>
      </c>
      <c r="P322" s="88">
        <f t="shared" si="72"/>
        <v>0</v>
      </c>
      <c r="Q322" s="94" t="s">
        <v>40</v>
      </c>
      <c r="R322" s="100" t="s">
        <v>40</v>
      </c>
      <c r="S322" s="103" t="s">
        <v>40</v>
      </c>
    </row>
    <row r="323" spans="1:19" s="1" customFormat="1" ht="15.75">
      <c r="A323" s="95"/>
      <c r="B323" s="300" t="s">
        <v>621</v>
      </c>
      <c r="C323" s="300"/>
      <c r="D323" s="300"/>
      <c r="E323" s="300"/>
      <c r="F323" s="300"/>
      <c r="G323" s="300"/>
      <c r="H323" s="94">
        <f>SUM(H324:H326)</f>
        <v>1118.5</v>
      </c>
      <c r="I323" s="94">
        <f t="shared" ref="I323:P323" si="73">SUM(I324:I326)</f>
        <v>1000.2</v>
      </c>
      <c r="J323" s="94">
        <f t="shared" si="73"/>
        <v>695.5</v>
      </c>
      <c r="K323" s="106">
        <f t="shared" si="73"/>
        <v>61</v>
      </c>
      <c r="L323" s="88">
        <f>SUM(L324:L326)</f>
        <v>3394024</v>
      </c>
      <c r="M323" s="88">
        <f t="shared" si="73"/>
        <v>0</v>
      </c>
      <c r="N323" s="88">
        <f t="shared" si="73"/>
        <v>0</v>
      </c>
      <c r="O323" s="88">
        <f>SUM(O324:O326)</f>
        <v>3394024</v>
      </c>
      <c r="P323" s="88">
        <f t="shared" si="73"/>
        <v>0</v>
      </c>
      <c r="Q323" s="94" t="s">
        <v>40</v>
      </c>
      <c r="R323" s="94" t="s">
        <v>40</v>
      </c>
      <c r="S323" s="94" t="s">
        <v>40</v>
      </c>
    </row>
    <row r="324" spans="1:19" s="1" customFormat="1" ht="31.5">
      <c r="A324" s="95">
        <f>A321+1</f>
        <v>277</v>
      </c>
      <c r="B324" s="139" t="s">
        <v>439</v>
      </c>
      <c r="C324" s="147">
        <v>1958</v>
      </c>
      <c r="D324" s="147"/>
      <c r="E324" s="98" t="s">
        <v>143</v>
      </c>
      <c r="F324" s="147">
        <v>2</v>
      </c>
      <c r="G324" s="147">
        <v>1</v>
      </c>
      <c r="H324" s="148">
        <v>342.5</v>
      </c>
      <c r="I324" s="148">
        <v>308.3</v>
      </c>
      <c r="J324" s="148">
        <v>190.6</v>
      </c>
      <c r="K324" s="149">
        <v>25</v>
      </c>
      <c r="L324" s="88">
        <v>1339091</v>
      </c>
      <c r="M324" s="88">
        <v>0</v>
      </c>
      <c r="N324" s="88">
        <v>0</v>
      </c>
      <c r="O324" s="88">
        <f>L324</f>
        <v>1339091</v>
      </c>
      <c r="P324" s="88">
        <v>0</v>
      </c>
      <c r="Q324" s="94">
        <f>L324/I324</f>
        <v>4343.4674018812839</v>
      </c>
      <c r="R324" s="100">
        <v>6774</v>
      </c>
      <c r="S324" s="103">
        <v>42735</v>
      </c>
    </row>
    <row r="325" spans="1:19" s="24" customFormat="1" ht="31.5">
      <c r="A325" s="95">
        <f t="shared" si="50"/>
        <v>278</v>
      </c>
      <c r="B325" s="139" t="s">
        <v>438</v>
      </c>
      <c r="C325" s="105">
        <v>1962</v>
      </c>
      <c r="D325" s="105"/>
      <c r="E325" s="98" t="s">
        <v>143</v>
      </c>
      <c r="F325" s="105">
        <v>2</v>
      </c>
      <c r="G325" s="105">
        <v>1</v>
      </c>
      <c r="H325" s="94">
        <v>255.5</v>
      </c>
      <c r="I325" s="94">
        <v>231.7</v>
      </c>
      <c r="J325" s="94">
        <v>117.5</v>
      </c>
      <c r="K325" s="106">
        <v>9</v>
      </c>
      <c r="L325" s="88">
        <v>1138249</v>
      </c>
      <c r="M325" s="88">
        <v>0</v>
      </c>
      <c r="N325" s="88">
        <v>0</v>
      </c>
      <c r="O325" s="88">
        <f>L325</f>
        <v>1138249</v>
      </c>
      <c r="P325" s="88">
        <v>0</v>
      </c>
      <c r="Q325" s="94">
        <f>L325/I325</f>
        <v>4912.5981873111787</v>
      </c>
      <c r="R325" s="100">
        <v>6774</v>
      </c>
      <c r="S325" s="103">
        <v>42735</v>
      </c>
    </row>
    <row r="326" spans="1:19" s="24" customFormat="1" ht="31.5">
      <c r="A326" s="95">
        <f t="shared" si="50"/>
        <v>279</v>
      </c>
      <c r="B326" s="150" t="s">
        <v>440</v>
      </c>
      <c r="C326" s="147">
        <v>1969</v>
      </c>
      <c r="D326" s="147"/>
      <c r="E326" s="98" t="s">
        <v>143</v>
      </c>
      <c r="F326" s="147">
        <v>2</v>
      </c>
      <c r="G326" s="147">
        <v>2</v>
      </c>
      <c r="H326" s="148">
        <v>520.5</v>
      </c>
      <c r="I326" s="148">
        <v>460.2</v>
      </c>
      <c r="J326" s="148">
        <v>387.4</v>
      </c>
      <c r="K326" s="149">
        <v>27</v>
      </c>
      <c r="L326" s="88">
        <v>916684</v>
      </c>
      <c r="M326" s="88">
        <v>0</v>
      </c>
      <c r="N326" s="88">
        <v>0</v>
      </c>
      <c r="O326" s="88">
        <f>L326</f>
        <v>916684</v>
      </c>
      <c r="P326" s="88">
        <v>0</v>
      </c>
      <c r="Q326" s="94">
        <f>L326/I326</f>
        <v>1991.9252498913515</v>
      </c>
      <c r="R326" s="100">
        <v>6774</v>
      </c>
      <c r="S326" s="103">
        <v>42735</v>
      </c>
    </row>
    <row r="327" spans="1:19" s="1" customFormat="1" ht="15.75" customHeight="1">
      <c r="A327" s="95"/>
      <c r="B327" s="299" t="s">
        <v>622</v>
      </c>
      <c r="C327" s="299"/>
      <c r="D327" s="299"/>
      <c r="E327" s="299"/>
      <c r="F327" s="299"/>
      <c r="G327" s="299"/>
      <c r="H327" s="94">
        <f>H328</f>
        <v>265.5</v>
      </c>
      <c r="I327" s="94">
        <f t="shared" ref="I327:P327" si="74">I328</f>
        <v>242.9</v>
      </c>
      <c r="J327" s="94">
        <f t="shared" si="74"/>
        <v>242.9</v>
      </c>
      <c r="K327" s="106">
        <f t="shared" si="74"/>
        <v>2</v>
      </c>
      <c r="L327" s="88">
        <f t="shared" si="74"/>
        <v>553839</v>
      </c>
      <c r="M327" s="88">
        <f t="shared" si="74"/>
        <v>0</v>
      </c>
      <c r="N327" s="88">
        <f t="shared" si="74"/>
        <v>414501.02</v>
      </c>
      <c r="O327" s="88">
        <f t="shared" si="74"/>
        <v>139337.98000000001</v>
      </c>
      <c r="P327" s="88">
        <f t="shared" si="74"/>
        <v>0</v>
      </c>
      <c r="Q327" s="94" t="s">
        <v>40</v>
      </c>
      <c r="R327" s="100" t="s">
        <v>40</v>
      </c>
      <c r="S327" s="103" t="s">
        <v>40</v>
      </c>
    </row>
    <row r="328" spans="1:19" s="1" customFormat="1" ht="31.5">
      <c r="A328" s="95">
        <f>A326+1</f>
        <v>280</v>
      </c>
      <c r="B328" s="96" t="s">
        <v>591</v>
      </c>
      <c r="C328" s="99">
        <v>1953</v>
      </c>
      <c r="D328" s="97"/>
      <c r="E328" s="98" t="s">
        <v>143</v>
      </c>
      <c r="F328" s="97">
        <v>2</v>
      </c>
      <c r="G328" s="97">
        <v>1</v>
      </c>
      <c r="H328" s="100">
        <v>265.5</v>
      </c>
      <c r="I328" s="100">
        <v>242.9</v>
      </c>
      <c r="J328" s="100">
        <v>242.9</v>
      </c>
      <c r="K328" s="101">
        <v>2</v>
      </c>
      <c r="L328" s="88">
        <f>N328+O328</f>
        <v>553839</v>
      </c>
      <c r="M328" s="88">
        <v>0</v>
      </c>
      <c r="N328" s="88">
        <v>414501.02</v>
      </c>
      <c r="O328" s="88">
        <v>139337.98000000001</v>
      </c>
      <c r="P328" s="88">
        <v>0</v>
      </c>
      <c r="Q328" s="100">
        <f>L328/I328</f>
        <v>2280.1111568546726</v>
      </c>
      <c r="R328" s="100">
        <v>6774</v>
      </c>
      <c r="S328" s="103">
        <v>42735</v>
      </c>
    </row>
    <row r="329" spans="1:19" s="1" customFormat="1" ht="15.75">
      <c r="A329" s="95"/>
      <c r="B329" s="300" t="s">
        <v>54</v>
      </c>
      <c r="C329" s="300"/>
      <c r="D329" s="300"/>
      <c r="E329" s="300"/>
      <c r="F329" s="300"/>
      <c r="G329" s="300"/>
      <c r="H329" s="94">
        <f>H330+H333+H336+H338</f>
        <v>5904.6</v>
      </c>
      <c r="I329" s="94">
        <f t="shared" ref="I329:P329" si="75">I330+I333+I336+I338</f>
        <v>5519</v>
      </c>
      <c r="J329" s="94">
        <f t="shared" si="75"/>
        <v>5020.1000000000004</v>
      </c>
      <c r="K329" s="151">
        <f t="shared" si="75"/>
        <v>328</v>
      </c>
      <c r="L329" s="88">
        <f t="shared" si="75"/>
        <v>8949722</v>
      </c>
      <c r="M329" s="88">
        <f t="shared" si="75"/>
        <v>0</v>
      </c>
      <c r="N329" s="88">
        <f t="shared" si="75"/>
        <v>559804</v>
      </c>
      <c r="O329" s="88">
        <f t="shared" si="75"/>
        <v>8389918</v>
      </c>
      <c r="P329" s="88">
        <f t="shared" si="75"/>
        <v>0</v>
      </c>
      <c r="Q329" s="94" t="s">
        <v>40</v>
      </c>
      <c r="R329" s="100" t="s">
        <v>40</v>
      </c>
      <c r="S329" s="103" t="s">
        <v>40</v>
      </c>
    </row>
    <row r="330" spans="1:19" s="1" customFormat="1" ht="15.75">
      <c r="A330" s="95"/>
      <c r="B330" s="300" t="s">
        <v>623</v>
      </c>
      <c r="C330" s="300"/>
      <c r="D330" s="300"/>
      <c r="E330" s="300"/>
      <c r="F330" s="300"/>
      <c r="G330" s="300"/>
      <c r="H330" s="94">
        <f>H331+H332</f>
        <v>1583.4</v>
      </c>
      <c r="I330" s="94">
        <f t="shared" ref="I330:P330" si="76">I331+I332</f>
        <v>1479</v>
      </c>
      <c r="J330" s="94">
        <f t="shared" si="76"/>
        <v>1435.6</v>
      </c>
      <c r="K330" s="106">
        <f>K331+K332</f>
        <v>72</v>
      </c>
      <c r="L330" s="88">
        <f t="shared" si="76"/>
        <v>2562200</v>
      </c>
      <c r="M330" s="88">
        <f t="shared" si="76"/>
        <v>0</v>
      </c>
      <c r="N330" s="88">
        <f t="shared" si="76"/>
        <v>0</v>
      </c>
      <c r="O330" s="88">
        <f t="shared" si="76"/>
        <v>2562200</v>
      </c>
      <c r="P330" s="88">
        <f t="shared" si="76"/>
        <v>0</v>
      </c>
      <c r="Q330" s="94" t="s">
        <v>40</v>
      </c>
      <c r="R330" s="94" t="s">
        <v>40</v>
      </c>
      <c r="S330" s="94" t="s">
        <v>40</v>
      </c>
    </row>
    <row r="331" spans="1:19" s="1" customFormat="1" ht="31.5">
      <c r="A331" s="95">
        <f>A328+1</f>
        <v>281</v>
      </c>
      <c r="B331" s="152" t="s">
        <v>441</v>
      </c>
      <c r="C331" s="105">
        <v>1985</v>
      </c>
      <c r="D331" s="105"/>
      <c r="E331" s="98" t="s">
        <v>143</v>
      </c>
      <c r="F331" s="105">
        <v>2</v>
      </c>
      <c r="G331" s="105">
        <v>2</v>
      </c>
      <c r="H331" s="94">
        <v>658.1</v>
      </c>
      <c r="I331" s="94">
        <v>634.1</v>
      </c>
      <c r="J331" s="94">
        <v>590.70000000000005</v>
      </c>
      <c r="K331" s="106">
        <v>31</v>
      </c>
      <c r="L331" s="88">
        <v>1082825</v>
      </c>
      <c r="M331" s="88">
        <v>0</v>
      </c>
      <c r="N331" s="88">
        <v>0</v>
      </c>
      <c r="O331" s="88">
        <f>L331</f>
        <v>1082825</v>
      </c>
      <c r="P331" s="88">
        <v>0</v>
      </c>
      <c r="Q331" s="94">
        <f>L331/I331</f>
        <v>1707.6565210534616</v>
      </c>
      <c r="R331" s="100">
        <v>6774</v>
      </c>
      <c r="S331" s="103">
        <v>42735</v>
      </c>
    </row>
    <row r="332" spans="1:19" s="1" customFormat="1" ht="31.5">
      <c r="A332" s="95">
        <f t="shared" si="50"/>
        <v>282</v>
      </c>
      <c r="B332" s="152" t="s">
        <v>442</v>
      </c>
      <c r="C332" s="105">
        <v>1977</v>
      </c>
      <c r="D332" s="105"/>
      <c r="E332" s="98" t="s">
        <v>143</v>
      </c>
      <c r="F332" s="105">
        <v>2</v>
      </c>
      <c r="G332" s="105">
        <v>3</v>
      </c>
      <c r="H332" s="94">
        <v>925.3</v>
      </c>
      <c r="I332" s="94">
        <v>844.9</v>
      </c>
      <c r="J332" s="94">
        <v>844.9</v>
      </c>
      <c r="K332" s="106">
        <v>41</v>
      </c>
      <c r="L332" s="88">
        <v>1479375</v>
      </c>
      <c r="M332" s="88">
        <v>0</v>
      </c>
      <c r="N332" s="88">
        <v>0</v>
      </c>
      <c r="O332" s="88">
        <f>L332</f>
        <v>1479375</v>
      </c>
      <c r="P332" s="88">
        <v>0</v>
      </c>
      <c r="Q332" s="94">
        <f>L332/I332</f>
        <v>1750.946857616286</v>
      </c>
      <c r="R332" s="100">
        <v>6774</v>
      </c>
      <c r="S332" s="103">
        <v>42735</v>
      </c>
    </row>
    <row r="333" spans="1:19" s="1" customFormat="1" ht="15.75" customHeight="1">
      <c r="A333" s="95"/>
      <c r="B333" s="299" t="s">
        <v>624</v>
      </c>
      <c r="C333" s="299"/>
      <c r="D333" s="299"/>
      <c r="E333" s="299"/>
      <c r="F333" s="299"/>
      <c r="G333" s="299"/>
      <c r="H333" s="94">
        <f>H334+H335</f>
        <v>1595.1</v>
      </c>
      <c r="I333" s="94">
        <f t="shared" ref="I333:P333" si="77">I334+I335</f>
        <v>1431.3</v>
      </c>
      <c r="J333" s="94">
        <f t="shared" si="77"/>
        <v>1431.3</v>
      </c>
      <c r="K333" s="151">
        <f>K334+K335</f>
        <v>87</v>
      </c>
      <c r="L333" s="88">
        <f t="shared" si="77"/>
        <v>1905804</v>
      </c>
      <c r="M333" s="88">
        <f t="shared" si="77"/>
        <v>0</v>
      </c>
      <c r="N333" s="88">
        <f t="shared" si="77"/>
        <v>59804</v>
      </c>
      <c r="O333" s="88">
        <f t="shared" si="77"/>
        <v>1846000</v>
      </c>
      <c r="P333" s="88">
        <f t="shared" si="77"/>
        <v>0</v>
      </c>
      <c r="Q333" s="94" t="s">
        <v>40</v>
      </c>
      <c r="R333" s="100" t="s">
        <v>40</v>
      </c>
      <c r="S333" s="105" t="s">
        <v>40</v>
      </c>
    </row>
    <row r="334" spans="1:19" s="1" customFormat="1" ht="15.75">
      <c r="A334" s="95">
        <f>A332+1</f>
        <v>283</v>
      </c>
      <c r="B334" s="142" t="s">
        <v>443</v>
      </c>
      <c r="C334" s="91">
        <v>1968</v>
      </c>
      <c r="D334" s="105"/>
      <c r="E334" s="98" t="s">
        <v>144</v>
      </c>
      <c r="F334" s="105">
        <v>2</v>
      </c>
      <c r="G334" s="105">
        <v>3</v>
      </c>
      <c r="H334" s="94">
        <v>798.1</v>
      </c>
      <c r="I334" s="94">
        <v>714.4</v>
      </c>
      <c r="J334" s="94">
        <v>714.4</v>
      </c>
      <c r="K334" s="106">
        <v>42</v>
      </c>
      <c r="L334" s="88">
        <v>958459</v>
      </c>
      <c r="M334" s="88">
        <v>0</v>
      </c>
      <c r="N334" s="88">
        <v>35459</v>
      </c>
      <c r="O334" s="88">
        <v>923000</v>
      </c>
      <c r="P334" s="88">
        <v>0</v>
      </c>
      <c r="Q334" s="94">
        <f>L334/I334</f>
        <v>1341.6279395296754</v>
      </c>
      <c r="R334" s="100">
        <v>6774</v>
      </c>
      <c r="S334" s="103">
        <v>42643</v>
      </c>
    </row>
    <row r="335" spans="1:19" s="1" customFormat="1" ht="15.75">
      <c r="A335" s="95">
        <f t="shared" si="50"/>
        <v>284</v>
      </c>
      <c r="B335" s="152" t="s">
        <v>444</v>
      </c>
      <c r="C335" s="105">
        <v>1970</v>
      </c>
      <c r="D335" s="105"/>
      <c r="E335" s="98" t="s">
        <v>144</v>
      </c>
      <c r="F335" s="105">
        <v>2</v>
      </c>
      <c r="G335" s="105">
        <v>3</v>
      </c>
      <c r="H335" s="94">
        <v>797</v>
      </c>
      <c r="I335" s="94">
        <v>716.9</v>
      </c>
      <c r="J335" s="94">
        <v>716.9</v>
      </c>
      <c r="K335" s="106">
        <v>45</v>
      </c>
      <c r="L335" s="88">
        <v>947345</v>
      </c>
      <c r="M335" s="88">
        <v>0</v>
      </c>
      <c r="N335" s="88">
        <v>24345</v>
      </c>
      <c r="O335" s="88">
        <v>923000</v>
      </c>
      <c r="P335" s="88">
        <v>0</v>
      </c>
      <c r="Q335" s="94">
        <f>L335/I335</f>
        <v>1321.4465057888131</v>
      </c>
      <c r="R335" s="100">
        <v>6774</v>
      </c>
      <c r="S335" s="103">
        <v>42643</v>
      </c>
    </row>
    <row r="336" spans="1:19" s="1" customFormat="1" ht="15.75">
      <c r="A336" s="95"/>
      <c r="B336" s="300" t="s">
        <v>625</v>
      </c>
      <c r="C336" s="300"/>
      <c r="D336" s="300"/>
      <c r="E336" s="300"/>
      <c r="F336" s="300"/>
      <c r="G336" s="300"/>
      <c r="H336" s="94">
        <f>H337</f>
        <v>506.9</v>
      </c>
      <c r="I336" s="94">
        <f t="shared" ref="I336:P336" si="78">I337</f>
        <v>402.3</v>
      </c>
      <c r="J336" s="94">
        <f t="shared" si="78"/>
        <v>402.3</v>
      </c>
      <c r="K336" s="151">
        <f t="shared" si="78"/>
        <v>7</v>
      </c>
      <c r="L336" s="88">
        <f t="shared" si="78"/>
        <v>820660</v>
      </c>
      <c r="M336" s="88">
        <f t="shared" si="78"/>
        <v>0</v>
      </c>
      <c r="N336" s="88">
        <f t="shared" si="78"/>
        <v>0</v>
      </c>
      <c r="O336" s="88">
        <f t="shared" si="78"/>
        <v>820660</v>
      </c>
      <c r="P336" s="88">
        <f t="shared" si="78"/>
        <v>0</v>
      </c>
      <c r="Q336" s="94" t="s">
        <v>40</v>
      </c>
      <c r="R336" s="100" t="s">
        <v>40</v>
      </c>
      <c r="S336" s="105" t="s">
        <v>40</v>
      </c>
    </row>
    <row r="337" spans="1:19" s="1" customFormat="1" ht="31.5">
      <c r="A337" s="95">
        <f>A335+1</f>
        <v>285</v>
      </c>
      <c r="B337" s="152" t="s">
        <v>445</v>
      </c>
      <c r="C337" s="105">
        <v>1958</v>
      </c>
      <c r="D337" s="105"/>
      <c r="E337" s="98" t="s">
        <v>143</v>
      </c>
      <c r="F337" s="105">
        <v>2</v>
      </c>
      <c r="G337" s="105">
        <v>1</v>
      </c>
      <c r="H337" s="94">
        <v>506.9</v>
      </c>
      <c r="I337" s="94">
        <v>402.3</v>
      </c>
      <c r="J337" s="94">
        <v>402.3</v>
      </c>
      <c r="K337" s="106">
        <v>7</v>
      </c>
      <c r="L337" s="88">
        <v>820660</v>
      </c>
      <c r="M337" s="88">
        <v>0</v>
      </c>
      <c r="N337" s="88">
        <v>0</v>
      </c>
      <c r="O337" s="88">
        <f>L337</f>
        <v>820660</v>
      </c>
      <c r="P337" s="88">
        <v>0</v>
      </c>
      <c r="Q337" s="94">
        <f>L337/I337</f>
        <v>2039.9204573701218</v>
      </c>
      <c r="R337" s="100">
        <v>6774</v>
      </c>
      <c r="S337" s="103">
        <v>42735</v>
      </c>
    </row>
    <row r="338" spans="1:19" s="1" customFormat="1" ht="15.75">
      <c r="A338" s="95"/>
      <c r="B338" s="300" t="s">
        <v>626</v>
      </c>
      <c r="C338" s="300"/>
      <c r="D338" s="300"/>
      <c r="E338" s="300"/>
      <c r="F338" s="300"/>
      <c r="G338" s="300"/>
      <c r="H338" s="94">
        <f>H339+H340</f>
        <v>2219.1999999999998</v>
      </c>
      <c r="I338" s="94">
        <f t="shared" ref="I338:P338" si="79">I339+I340</f>
        <v>2206.4</v>
      </c>
      <c r="J338" s="94">
        <f t="shared" si="79"/>
        <v>1750.9</v>
      </c>
      <c r="K338" s="151">
        <f t="shared" si="79"/>
        <v>162</v>
      </c>
      <c r="L338" s="88">
        <f t="shared" si="79"/>
        <v>3661058</v>
      </c>
      <c r="M338" s="88">
        <f t="shared" si="79"/>
        <v>0</v>
      </c>
      <c r="N338" s="88">
        <f t="shared" si="79"/>
        <v>500000</v>
      </c>
      <c r="O338" s="88">
        <f t="shared" si="79"/>
        <v>3161058</v>
      </c>
      <c r="P338" s="88">
        <f t="shared" si="79"/>
        <v>0</v>
      </c>
      <c r="Q338" s="94" t="s">
        <v>40</v>
      </c>
      <c r="R338" s="100" t="s">
        <v>40</v>
      </c>
      <c r="S338" s="105" t="s">
        <v>40</v>
      </c>
    </row>
    <row r="339" spans="1:19" s="61" customFormat="1" ht="31.5">
      <c r="A339" s="95">
        <f>A337+1</f>
        <v>286</v>
      </c>
      <c r="B339" s="153" t="s">
        <v>449</v>
      </c>
      <c r="C339" s="120">
        <v>1958</v>
      </c>
      <c r="D339" s="120"/>
      <c r="E339" s="98" t="s">
        <v>143</v>
      </c>
      <c r="F339" s="120">
        <v>2</v>
      </c>
      <c r="G339" s="120">
        <v>2</v>
      </c>
      <c r="H339" s="109">
        <v>697.4</v>
      </c>
      <c r="I339" s="109">
        <v>697.4</v>
      </c>
      <c r="J339" s="109">
        <v>533.70000000000005</v>
      </c>
      <c r="K339" s="120">
        <v>55</v>
      </c>
      <c r="L339" s="88">
        <f>O339+N339</f>
        <v>1364197</v>
      </c>
      <c r="M339" s="88">
        <v>0</v>
      </c>
      <c r="N339" s="88">
        <v>300000</v>
      </c>
      <c r="O339" s="88">
        <v>1064197</v>
      </c>
      <c r="P339" s="88">
        <v>0</v>
      </c>
      <c r="Q339" s="109">
        <f>L339/I339</f>
        <v>1956.1184399197018</v>
      </c>
      <c r="R339" s="100">
        <v>6774</v>
      </c>
      <c r="S339" s="103">
        <v>42735</v>
      </c>
    </row>
    <row r="340" spans="1:19" s="61" customFormat="1">
      <c r="A340" s="95">
        <f t="shared" si="50"/>
        <v>287</v>
      </c>
      <c r="B340" s="135" t="s">
        <v>446</v>
      </c>
      <c r="C340" s="154">
        <v>1963</v>
      </c>
      <c r="D340" s="120"/>
      <c r="E340" s="98" t="s">
        <v>144</v>
      </c>
      <c r="F340" s="120">
        <v>4</v>
      </c>
      <c r="G340" s="120">
        <v>2</v>
      </c>
      <c r="H340" s="109">
        <v>1521.8</v>
      </c>
      <c r="I340" s="109">
        <v>1509</v>
      </c>
      <c r="J340" s="109">
        <v>1217.2</v>
      </c>
      <c r="K340" s="120">
        <v>107</v>
      </c>
      <c r="L340" s="88">
        <v>2296861</v>
      </c>
      <c r="M340" s="88">
        <v>0</v>
      </c>
      <c r="N340" s="88">
        <v>200000</v>
      </c>
      <c r="O340" s="88">
        <v>2096861</v>
      </c>
      <c r="P340" s="88">
        <v>0</v>
      </c>
      <c r="Q340" s="109">
        <f>L340/I340</f>
        <v>1522.1080185553346</v>
      </c>
      <c r="R340" s="100">
        <v>6774</v>
      </c>
      <c r="S340" s="103">
        <v>42735</v>
      </c>
    </row>
    <row r="341" spans="1:19" s="1" customFormat="1" ht="15.75">
      <c r="A341" s="95"/>
      <c r="B341" s="300" t="s">
        <v>55</v>
      </c>
      <c r="C341" s="300"/>
      <c r="D341" s="300"/>
      <c r="E341" s="300"/>
      <c r="F341" s="300"/>
      <c r="G341" s="300"/>
      <c r="H341" s="94">
        <f>H342</f>
        <v>14023.75</v>
      </c>
      <c r="I341" s="94">
        <f t="shared" ref="I341:P341" si="80">I342</f>
        <v>14023.75</v>
      </c>
      <c r="J341" s="94">
        <f t="shared" si="80"/>
        <v>10425.739999999998</v>
      </c>
      <c r="K341" s="106">
        <f t="shared" si="80"/>
        <v>584</v>
      </c>
      <c r="L341" s="88">
        <f t="shared" si="80"/>
        <v>13937333</v>
      </c>
      <c r="M341" s="88">
        <f t="shared" si="80"/>
        <v>0</v>
      </c>
      <c r="N341" s="88">
        <f t="shared" si="80"/>
        <v>0</v>
      </c>
      <c r="O341" s="88">
        <f t="shared" si="80"/>
        <v>13937333</v>
      </c>
      <c r="P341" s="88">
        <f t="shared" si="80"/>
        <v>0</v>
      </c>
      <c r="Q341" s="94" t="s">
        <v>40</v>
      </c>
      <c r="R341" s="100" t="s">
        <v>40</v>
      </c>
      <c r="S341" s="103" t="s">
        <v>40</v>
      </c>
    </row>
    <row r="342" spans="1:19" s="17" customFormat="1" ht="15.75">
      <c r="A342" s="95"/>
      <c r="B342" s="300" t="s">
        <v>627</v>
      </c>
      <c r="C342" s="300"/>
      <c r="D342" s="300"/>
      <c r="E342" s="300"/>
      <c r="F342" s="300"/>
      <c r="G342" s="300"/>
      <c r="H342" s="94">
        <f t="shared" ref="H342:P342" si="81">SUM(H343:H352)</f>
        <v>14023.75</v>
      </c>
      <c r="I342" s="94">
        <f t="shared" si="81"/>
        <v>14023.75</v>
      </c>
      <c r="J342" s="94">
        <f t="shared" si="81"/>
        <v>10425.739999999998</v>
      </c>
      <c r="K342" s="106">
        <f t="shared" si="81"/>
        <v>584</v>
      </c>
      <c r="L342" s="88">
        <f t="shared" si="81"/>
        <v>13937333</v>
      </c>
      <c r="M342" s="88">
        <f t="shared" si="81"/>
        <v>0</v>
      </c>
      <c r="N342" s="88">
        <f t="shared" si="81"/>
        <v>0</v>
      </c>
      <c r="O342" s="88">
        <f t="shared" si="81"/>
        <v>13937333</v>
      </c>
      <c r="P342" s="88">
        <f t="shared" si="81"/>
        <v>0</v>
      </c>
      <c r="Q342" s="94" t="s">
        <v>40</v>
      </c>
      <c r="R342" s="100" t="s">
        <v>40</v>
      </c>
      <c r="S342" s="103" t="s">
        <v>40</v>
      </c>
    </row>
    <row r="343" spans="1:19" s="64" customFormat="1" ht="31.5">
      <c r="A343" s="95">
        <f>A340+1</f>
        <v>288</v>
      </c>
      <c r="B343" s="155" t="s">
        <v>448</v>
      </c>
      <c r="C343" s="156">
        <v>1972</v>
      </c>
      <c r="D343" s="157"/>
      <c r="E343" s="98" t="s">
        <v>143</v>
      </c>
      <c r="F343" s="157">
        <v>2</v>
      </c>
      <c r="G343" s="157">
        <v>2</v>
      </c>
      <c r="H343" s="158">
        <v>536.5</v>
      </c>
      <c r="I343" s="159">
        <v>536.5</v>
      </c>
      <c r="J343" s="160">
        <v>434.2</v>
      </c>
      <c r="K343" s="161">
        <v>21</v>
      </c>
      <c r="L343" s="88">
        <v>1075050</v>
      </c>
      <c r="M343" s="88">
        <f>SUM(M344:M352)</f>
        <v>0</v>
      </c>
      <c r="N343" s="88">
        <f>SUM(N344:N352)</f>
        <v>0</v>
      </c>
      <c r="O343" s="88">
        <f t="shared" ref="O343:O352" si="82">L343</f>
        <v>1075050</v>
      </c>
      <c r="P343" s="88">
        <f>SUM(P344:P352)</f>
        <v>0</v>
      </c>
      <c r="Q343" s="159">
        <f t="shared" ref="Q343:Q352" si="83">L343/I343</f>
        <v>2003.821062441752</v>
      </c>
      <c r="R343" s="100">
        <v>6774</v>
      </c>
      <c r="S343" s="103">
        <v>42735</v>
      </c>
    </row>
    <row r="344" spans="1:19" s="46" customFormat="1" ht="31.5">
      <c r="A344" s="95">
        <f>A343+1</f>
        <v>289</v>
      </c>
      <c r="B344" s="155" t="s">
        <v>447</v>
      </c>
      <c r="C344" s="156">
        <v>1967</v>
      </c>
      <c r="D344" s="157"/>
      <c r="E344" s="98" t="s">
        <v>143</v>
      </c>
      <c r="F344" s="157">
        <v>2</v>
      </c>
      <c r="G344" s="157">
        <v>3</v>
      </c>
      <c r="H344" s="158">
        <v>491.4</v>
      </c>
      <c r="I344" s="159">
        <v>491.4</v>
      </c>
      <c r="J344" s="160">
        <v>413.9</v>
      </c>
      <c r="K344" s="161">
        <v>22</v>
      </c>
      <c r="L344" s="88">
        <v>1046724</v>
      </c>
      <c r="M344" s="88">
        <f>SUM(M345:M354)</f>
        <v>0</v>
      </c>
      <c r="N344" s="88">
        <f>SUM(N345:N354)</f>
        <v>0</v>
      </c>
      <c r="O344" s="88">
        <f t="shared" si="82"/>
        <v>1046724</v>
      </c>
      <c r="P344" s="88">
        <f>SUM(P345:P354)</f>
        <v>0</v>
      </c>
      <c r="Q344" s="159">
        <f t="shared" si="83"/>
        <v>2130.0854700854702</v>
      </c>
      <c r="R344" s="100">
        <v>6774</v>
      </c>
      <c r="S344" s="103">
        <v>42735</v>
      </c>
    </row>
    <row r="345" spans="1:19" s="46" customFormat="1" ht="31.5">
      <c r="A345" s="95">
        <f t="shared" ref="A345:A400" si="84">A344+1</f>
        <v>290</v>
      </c>
      <c r="B345" s="155" t="s">
        <v>310</v>
      </c>
      <c r="C345" s="156">
        <v>1954</v>
      </c>
      <c r="D345" s="157"/>
      <c r="E345" s="98" t="s">
        <v>143</v>
      </c>
      <c r="F345" s="157">
        <v>1</v>
      </c>
      <c r="G345" s="157">
        <v>2</v>
      </c>
      <c r="H345" s="158">
        <v>173.1</v>
      </c>
      <c r="I345" s="159">
        <v>173.1</v>
      </c>
      <c r="J345" s="160">
        <v>134.34</v>
      </c>
      <c r="K345" s="161">
        <v>10</v>
      </c>
      <c r="L345" s="88">
        <v>998999</v>
      </c>
      <c r="M345" s="88">
        <f>SUM(M346:M353)</f>
        <v>0</v>
      </c>
      <c r="N345" s="88">
        <f>SUM(N346:N353)</f>
        <v>0</v>
      </c>
      <c r="O345" s="88">
        <f t="shared" si="82"/>
        <v>998999</v>
      </c>
      <c r="P345" s="88">
        <f>SUM(P346:P353)</f>
        <v>0</v>
      </c>
      <c r="Q345" s="159">
        <f t="shared" si="83"/>
        <v>5771.2247255921438</v>
      </c>
      <c r="R345" s="100">
        <v>6774</v>
      </c>
      <c r="S345" s="103">
        <v>42735</v>
      </c>
    </row>
    <row r="346" spans="1:19" s="46" customFormat="1" ht="31.5">
      <c r="A346" s="95">
        <f t="shared" si="84"/>
        <v>291</v>
      </c>
      <c r="B346" s="155" t="s">
        <v>454</v>
      </c>
      <c r="C346" s="156">
        <v>1982</v>
      </c>
      <c r="D346" s="157"/>
      <c r="E346" s="98" t="s">
        <v>143</v>
      </c>
      <c r="F346" s="157">
        <v>5</v>
      </c>
      <c r="G346" s="157">
        <v>4</v>
      </c>
      <c r="H346" s="158">
        <v>2870.9</v>
      </c>
      <c r="I346" s="159">
        <v>2870.9</v>
      </c>
      <c r="J346" s="160">
        <v>2099.9</v>
      </c>
      <c r="K346" s="161">
        <v>98</v>
      </c>
      <c r="L346" s="88">
        <v>1992031</v>
      </c>
      <c r="M346" s="88">
        <f>SUM(M347:M352)</f>
        <v>0</v>
      </c>
      <c r="N346" s="88">
        <f>SUM(N347:N352)</f>
        <v>0</v>
      </c>
      <c r="O346" s="88">
        <f t="shared" si="82"/>
        <v>1992031</v>
      </c>
      <c r="P346" s="88">
        <f>SUM(P347:P352)</f>
        <v>0</v>
      </c>
      <c r="Q346" s="159">
        <f t="shared" si="83"/>
        <v>693.86986659235777</v>
      </c>
      <c r="R346" s="100">
        <v>6774</v>
      </c>
      <c r="S346" s="103">
        <v>42735</v>
      </c>
    </row>
    <row r="347" spans="1:19" s="46" customFormat="1" ht="31.5">
      <c r="A347" s="95">
        <f t="shared" si="84"/>
        <v>292</v>
      </c>
      <c r="B347" s="155" t="s">
        <v>451</v>
      </c>
      <c r="C347" s="156">
        <v>1978</v>
      </c>
      <c r="D347" s="157"/>
      <c r="E347" s="98" t="s">
        <v>143</v>
      </c>
      <c r="F347" s="157">
        <v>5</v>
      </c>
      <c r="G347" s="157">
        <v>2</v>
      </c>
      <c r="H347" s="158">
        <v>1724.3</v>
      </c>
      <c r="I347" s="159">
        <v>1724.3</v>
      </c>
      <c r="J347" s="160">
        <v>1479.5</v>
      </c>
      <c r="K347" s="161">
        <v>57</v>
      </c>
      <c r="L347" s="88">
        <v>1147227</v>
      </c>
      <c r="M347" s="88">
        <f>SUM(M349:M355)</f>
        <v>0</v>
      </c>
      <c r="N347" s="88">
        <f>SUM(N349:N355)</f>
        <v>0</v>
      </c>
      <c r="O347" s="88">
        <f t="shared" si="82"/>
        <v>1147227</v>
      </c>
      <c r="P347" s="88">
        <f>SUM(P349:P355)</f>
        <v>0</v>
      </c>
      <c r="Q347" s="159">
        <f t="shared" si="83"/>
        <v>665.3291190628081</v>
      </c>
      <c r="R347" s="100">
        <v>6774</v>
      </c>
      <c r="S347" s="103">
        <v>42735</v>
      </c>
    </row>
    <row r="348" spans="1:19" s="46" customFormat="1" ht="31.5">
      <c r="A348" s="95">
        <f t="shared" si="84"/>
        <v>293</v>
      </c>
      <c r="B348" s="155" t="s">
        <v>450</v>
      </c>
      <c r="C348" s="156">
        <v>1969</v>
      </c>
      <c r="D348" s="157"/>
      <c r="E348" s="98" t="s">
        <v>143</v>
      </c>
      <c r="F348" s="157">
        <v>2</v>
      </c>
      <c r="G348" s="157">
        <v>2</v>
      </c>
      <c r="H348" s="158">
        <v>525.70000000000005</v>
      </c>
      <c r="I348" s="159">
        <v>525.70000000000005</v>
      </c>
      <c r="J348" s="160">
        <v>478.4</v>
      </c>
      <c r="K348" s="161">
        <v>25</v>
      </c>
      <c r="L348" s="88">
        <v>1090541</v>
      </c>
      <c r="M348" s="88">
        <f>SUM(M349:M356)</f>
        <v>0</v>
      </c>
      <c r="N348" s="88">
        <f>SUM(N349:N356)</f>
        <v>0</v>
      </c>
      <c r="O348" s="88">
        <f t="shared" si="82"/>
        <v>1090541</v>
      </c>
      <c r="P348" s="88">
        <f>SUM(P349:P356)</f>
        <v>0</v>
      </c>
      <c r="Q348" s="159">
        <f t="shared" si="83"/>
        <v>2074.4550123644663</v>
      </c>
      <c r="R348" s="100">
        <v>6774</v>
      </c>
      <c r="S348" s="103">
        <v>42735</v>
      </c>
    </row>
    <row r="349" spans="1:19" s="46" customFormat="1" ht="31.5">
      <c r="A349" s="95">
        <f>A348+1</f>
        <v>294</v>
      </c>
      <c r="B349" s="155" t="s">
        <v>452</v>
      </c>
      <c r="C349" s="156">
        <v>1983</v>
      </c>
      <c r="D349" s="157"/>
      <c r="E349" s="98" t="s">
        <v>143</v>
      </c>
      <c r="F349" s="157">
        <v>5</v>
      </c>
      <c r="G349" s="157">
        <v>6</v>
      </c>
      <c r="H349" s="158">
        <v>4186.6000000000004</v>
      </c>
      <c r="I349" s="159">
        <v>4186.6000000000004</v>
      </c>
      <c r="J349" s="160">
        <v>3179.4</v>
      </c>
      <c r="K349" s="161">
        <v>145</v>
      </c>
      <c r="L349" s="88">
        <v>2639289</v>
      </c>
      <c r="M349" s="88">
        <v>0</v>
      </c>
      <c r="N349" s="88">
        <v>0</v>
      </c>
      <c r="O349" s="88">
        <f t="shared" si="82"/>
        <v>2639289</v>
      </c>
      <c r="P349" s="88">
        <v>0</v>
      </c>
      <c r="Q349" s="159">
        <f t="shared" si="83"/>
        <v>630.41346199780241</v>
      </c>
      <c r="R349" s="100">
        <v>6774</v>
      </c>
      <c r="S349" s="103">
        <v>42735</v>
      </c>
    </row>
    <row r="350" spans="1:19" s="46" customFormat="1" ht="31.5">
      <c r="A350" s="95">
        <f>A349+1</f>
        <v>295</v>
      </c>
      <c r="B350" s="155" t="s">
        <v>453</v>
      </c>
      <c r="C350" s="156">
        <v>1978</v>
      </c>
      <c r="D350" s="157"/>
      <c r="E350" s="98" t="s">
        <v>143</v>
      </c>
      <c r="F350" s="157">
        <v>5</v>
      </c>
      <c r="G350" s="157">
        <v>1</v>
      </c>
      <c r="H350" s="158">
        <v>2644.15</v>
      </c>
      <c r="I350" s="159">
        <v>2644.15</v>
      </c>
      <c r="J350" s="160">
        <v>1468.8</v>
      </c>
      <c r="K350" s="161">
        <v>163</v>
      </c>
      <c r="L350" s="88">
        <v>2195667</v>
      </c>
      <c r="M350" s="88">
        <f>SUM(M351:M357)</f>
        <v>0</v>
      </c>
      <c r="N350" s="88">
        <f>SUM(N351:N357)</f>
        <v>0</v>
      </c>
      <c r="O350" s="88">
        <f t="shared" si="82"/>
        <v>2195667</v>
      </c>
      <c r="P350" s="88">
        <f>SUM(P351:P357)</f>
        <v>0</v>
      </c>
      <c r="Q350" s="159">
        <f t="shared" si="83"/>
        <v>830.3867027211013</v>
      </c>
      <c r="R350" s="100">
        <v>6774</v>
      </c>
      <c r="S350" s="103">
        <v>42735</v>
      </c>
    </row>
    <row r="351" spans="1:19" s="46" customFormat="1" ht="31.5">
      <c r="A351" s="95">
        <f t="shared" si="84"/>
        <v>296</v>
      </c>
      <c r="B351" s="155" t="s">
        <v>562</v>
      </c>
      <c r="C351" s="162">
        <v>1964</v>
      </c>
      <c r="D351" s="163"/>
      <c r="E351" s="98" t="s">
        <v>143</v>
      </c>
      <c r="F351" s="163">
        <v>2</v>
      </c>
      <c r="G351" s="163">
        <v>2</v>
      </c>
      <c r="H351" s="158">
        <v>350.4</v>
      </c>
      <c r="I351" s="159">
        <v>350.4</v>
      </c>
      <c r="J351" s="159">
        <v>252.8</v>
      </c>
      <c r="K351" s="164">
        <v>24</v>
      </c>
      <c r="L351" s="88">
        <v>780669</v>
      </c>
      <c r="M351" s="88">
        <f>SUM(M352:M361)</f>
        <v>0</v>
      </c>
      <c r="N351" s="88">
        <f>SUM(N352:N361)</f>
        <v>0</v>
      </c>
      <c r="O351" s="88">
        <f t="shared" si="82"/>
        <v>780669</v>
      </c>
      <c r="P351" s="88">
        <f>SUM(P352:P361)</f>
        <v>0</v>
      </c>
      <c r="Q351" s="159">
        <f t="shared" si="83"/>
        <v>2227.9366438356165</v>
      </c>
      <c r="R351" s="100">
        <v>6774</v>
      </c>
      <c r="S351" s="103">
        <v>42735</v>
      </c>
    </row>
    <row r="352" spans="1:19" s="46" customFormat="1" ht="31.5">
      <c r="A352" s="95">
        <f t="shared" si="84"/>
        <v>297</v>
      </c>
      <c r="B352" s="155" t="s">
        <v>455</v>
      </c>
      <c r="C352" s="156">
        <v>1967</v>
      </c>
      <c r="D352" s="157"/>
      <c r="E352" s="98" t="s">
        <v>143</v>
      </c>
      <c r="F352" s="157">
        <v>2</v>
      </c>
      <c r="G352" s="157">
        <v>2</v>
      </c>
      <c r="H352" s="158">
        <v>520.70000000000005</v>
      </c>
      <c r="I352" s="159">
        <v>520.70000000000005</v>
      </c>
      <c r="J352" s="160">
        <v>484.5</v>
      </c>
      <c r="K352" s="161">
        <v>19</v>
      </c>
      <c r="L352" s="88">
        <v>971136</v>
      </c>
      <c r="M352" s="88">
        <f>SUM(M353:M357)</f>
        <v>0</v>
      </c>
      <c r="N352" s="88">
        <f>SUM(N353:N357)</f>
        <v>0</v>
      </c>
      <c r="O352" s="88">
        <f t="shared" si="82"/>
        <v>971136</v>
      </c>
      <c r="P352" s="88">
        <f>SUM(P353:P357)</f>
        <v>0</v>
      </c>
      <c r="Q352" s="159">
        <f t="shared" si="83"/>
        <v>1865.0585749951986</v>
      </c>
      <c r="R352" s="100">
        <v>6774</v>
      </c>
      <c r="S352" s="103">
        <v>42735</v>
      </c>
    </row>
    <row r="353" spans="1:19" s="1" customFormat="1" ht="15.75">
      <c r="A353" s="95"/>
      <c r="B353" s="300" t="s">
        <v>56</v>
      </c>
      <c r="C353" s="300"/>
      <c r="D353" s="300"/>
      <c r="E353" s="300"/>
      <c r="F353" s="300"/>
      <c r="G353" s="300"/>
      <c r="H353" s="94">
        <f>H354</f>
        <v>11683.700000000003</v>
      </c>
      <c r="I353" s="94">
        <f t="shared" ref="I353:P353" si="85">I354</f>
        <v>11683.700000000003</v>
      </c>
      <c r="J353" s="94">
        <f t="shared" si="85"/>
        <v>9533.6</v>
      </c>
      <c r="K353" s="106">
        <f t="shared" si="85"/>
        <v>406</v>
      </c>
      <c r="L353" s="88">
        <f t="shared" si="85"/>
        <v>13321832</v>
      </c>
      <c r="M353" s="88">
        <f t="shared" si="85"/>
        <v>0</v>
      </c>
      <c r="N353" s="88">
        <f t="shared" si="85"/>
        <v>0</v>
      </c>
      <c r="O353" s="88">
        <f t="shared" si="85"/>
        <v>13321832</v>
      </c>
      <c r="P353" s="88">
        <f t="shared" si="85"/>
        <v>0</v>
      </c>
      <c r="Q353" s="94" t="s">
        <v>40</v>
      </c>
      <c r="R353" s="94" t="s">
        <v>40</v>
      </c>
      <c r="S353" s="94" t="s">
        <v>40</v>
      </c>
    </row>
    <row r="354" spans="1:19" s="1" customFormat="1" ht="15.75">
      <c r="A354" s="95"/>
      <c r="B354" s="300" t="s">
        <v>628</v>
      </c>
      <c r="C354" s="300"/>
      <c r="D354" s="300"/>
      <c r="E354" s="300"/>
      <c r="F354" s="300"/>
      <c r="G354" s="300"/>
      <c r="H354" s="94">
        <f t="shared" ref="H354:P354" si="86">SUM(H355:H368)</f>
        <v>11683.700000000003</v>
      </c>
      <c r="I354" s="94">
        <f t="shared" si="86"/>
        <v>11683.700000000003</v>
      </c>
      <c r="J354" s="94">
        <f t="shared" si="86"/>
        <v>9533.6</v>
      </c>
      <c r="K354" s="106">
        <f t="shared" si="86"/>
        <v>406</v>
      </c>
      <c r="L354" s="88">
        <f t="shared" si="86"/>
        <v>13321832</v>
      </c>
      <c r="M354" s="88">
        <f t="shared" si="86"/>
        <v>0</v>
      </c>
      <c r="N354" s="88">
        <f t="shared" si="86"/>
        <v>0</v>
      </c>
      <c r="O354" s="88">
        <f t="shared" si="86"/>
        <v>13321832</v>
      </c>
      <c r="P354" s="88">
        <f t="shared" si="86"/>
        <v>0</v>
      </c>
      <c r="Q354" s="94" t="s">
        <v>40</v>
      </c>
      <c r="R354" s="94" t="s">
        <v>40</v>
      </c>
      <c r="S354" s="94" t="s">
        <v>40</v>
      </c>
    </row>
    <row r="355" spans="1:19" s="47" customFormat="1" ht="31.5">
      <c r="A355" s="95">
        <f>A352+1</f>
        <v>298</v>
      </c>
      <c r="B355" s="117" t="s">
        <v>463</v>
      </c>
      <c r="C355" s="105">
        <v>1964</v>
      </c>
      <c r="D355" s="105"/>
      <c r="E355" s="98" t="s">
        <v>143</v>
      </c>
      <c r="F355" s="105">
        <v>2</v>
      </c>
      <c r="G355" s="105">
        <v>1</v>
      </c>
      <c r="H355" s="94">
        <v>250.6</v>
      </c>
      <c r="I355" s="94">
        <v>250.6</v>
      </c>
      <c r="J355" s="94">
        <v>184</v>
      </c>
      <c r="K355" s="106">
        <v>8</v>
      </c>
      <c r="L355" s="88">
        <v>499459</v>
      </c>
      <c r="M355" s="88">
        <v>0</v>
      </c>
      <c r="N355" s="88">
        <v>0</v>
      </c>
      <c r="O355" s="88">
        <f t="shared" ref="O355:O368" si="87">L355</f>
        <v>499459</v>
      </c>
      <c r="P355" s="88">
        <v>0</v>
      </c>
      <c r="Q355" s="165">
        <f t="shared" ref="Q355:Q368" si="88">L355/I355</f>
        <v>1993.0526735833998</v>
      </c>
      <c r="R355" s="100">
        <v>6774</v>
      </c>
      <c r="S355" s="103">
        <v>42735</v>
      </c>
    </row>
    <row r="356" spans="1:19" s="47" customFormat="1" ht="31.5">
      <c r="A356" s="95">
        <f t="shared" si="84"/>
        <v>299</v>
      </c>
      <c r="B356" s="117" t="s">
        <v>458</v>
      </c>
      <c r="C356" s="105">
        <v>1976</v>
      </c>
      <c r="D356" s="105"/>
      <c r="E356" s="98" t="s">
        <v>143</v>
      </c>
      <c r="F356" s="105">
        <v>2</v>
      </c>
      <c r="G356" s="105">
        <v>2</v>
      </c>
      <c r="H356" s="94">
        <v>560.79999999999995</v>
      </c>
      <c r="I356" s="94">
        <v>560.79999999999995</v>
      </c>
      <c r="J356" s="94">
        <v>330.2</v>
      </c>
      <c r="K356" s="106">
        <v>19</v>
      </c>
      <c r="L356" s="88">
        <v>1013142</v>
      </c>
      <c r="M356" s="88">
        <v>0</v>
      </c>
      <c r="N356" s="88">
        <v>0</v>
      </c>
      <c r="O356" s="88">
        <f t="shared" si="87"/>
        <v>1013142</v>
      </c>
      <c r="P356" s="88">
        <v>0</v>
      </c>
      <c r="Q356" s="165">
        <f t="shared" si="88"/>
        <v>1806.6012838801714</v>
      </c>
      <c r="R356" s="100">
        <v>6774</v>
      </c>
      <c r="S356" s="103">
        <v>42735</v>
      </c>
    </row>
    <row r="357" spans="1:19" s="47" customFormat="1" ht="31.5">
      <c r="A357" s="95">
        <f t="shared" si="84"/>
        <v>300</v>
      </c>
      <c r="B357" s="117" t="s">
        <v>459</v>
      </c>
      <c r="C357" s="105">
        <v>1975</v>
      </c>
      <c r="D357" s="105"/>
      <c r="E357" s="98" t="s">
        <v>143</v>
      </c>
      <c r="F357" s="105">
        <v>2</v>
      </c>
      <c r="G357" s="105">
        <v>2</v>
      </c>
      <c r="H357" s="94">
        <v>533.5</v>
      </c>
      <c r="I357" s="94">
        <v>533.5</v>
      </c>
      <c r="J357" s="94">
        <v>303.5</v>
      </c>
      <c r="K357" s="106">
        <v>19</v>
      </c>
      <c r="L357" s="88">
        <v>710212</v>
      </c>
      <c r="M357" s="88">
        <v>0</v>
      </c>
      <c r="N357" s="88">
        <v>0</v>
      </c>
      <c r="O357" s="88">
        <f t="shared" si="87"/>
        <v>710212</v>
      </c>
      <c r="P357" s="88">
        <v>0</v>
      </c>
      <c r="Q357" s="165">
        <f t="shared" si="88"/>
        <v>1331.2314901593252</v>
      </c>
      <c r="R357" s="100">
        <v>6774</v>
      </c>
      <c r="S357" s="103">
        <v>42735</v>
      </c>
    </row>
    <row r="358" spans="1:19" s="1" customFormat="1" ht="15.75">
      <c r="A358" s="95">
        <f t="shared" si="84"/>
        <v>301</v>
      </c>
      <c r="B358" s="166" t="s">
        <v>123</v>
      </c>
      <c r="C358" s="167">
        <v>1917</v>
      </c>
      <c r="D358" s="166"/>
      <c r="E358" s="98" t="s">
        <v>147</v>
      </c>
      <c r="F358" s="167">
        <v>2</v>
      </c>
      <c r="G358" s="167">
        <v>1</v>
      </c>
      <c r="H358" s="165">
        <v>329</v>
      </c>
      <c r="I358" s="165">
        <v>329</v>
      </c>
      <c r="J358" s="165">
        <v>272.10000000000002</v>
      </c>
      <c r="K358" s="168">
        <v>12</v>
      </c>
      <c r="L358" s="88">
        <v>89866</v>
      </c>
      <c r="M358" s="88">
        <v>0</v>
      </c>
      <c r="N358" s="88">
        <v>0</v>
      </c>
      <c r="O358" s="88">
        <f t="shared" si="87"/>
        <v>89866</v>
      </c>
      <c r="P358" s="88">
        <v>0</v>
      </c>
      <c r="Q358" s="165">
        <f t="shared" si="88"/>
        <v>273.14893617021278</v>
      </c>
      <c r="R358" s="100">
        <v>6774</v>
      </c>
      <c r="S358" s="103">
        <v>42735</v>
      </c>
    </row>
    <row r="359" spans="1:19" s="1" customFormat="1" ht="31.5">
      <c r="A359" s="95">
        <f t="shared" si="84"/>
        <v>302</v>
      </c>
      <c r="B359" s="117" t="s">
        <v>466</v>
      </c>
      <c r="C359" s="105">
        <v>1959</v>
      </c>
      <c r="D359" s="105"/>
      <c r="E359" s="98" t="s">
        <v>143</v>
      </c>
      <c r="F359" s="105">
        <v>2</v>
      </c>
      <c r="G359" s="105">
        <v>1</v>
      </c>
      <c r="H359" s="94">
        <v>451.3</v>
      </c>
      <c r="I359" s="94">
        <v>451.3</v>
      </c>
      <c r="J359" s="94">
        <v>294.10000000000002</v>
      </c>
      <c r="K359" s="106">
        <v>16</v>
      </c>
      <c r="L359" s="88">
        <v>848302</v>
      </c>
      <c r="M359" s="88">
        <v>0</v>
      </c>
      <c r="N359" s="88">
        <v>0</v>
      </c>
      <c r="O359" s="88">
        <f t="shared" si="87"/>
        <v>848302</v>
      </c>
      <c r="P359" s="88">
        <v>0</v>
      </c>
      <c r="Q359" s="165">
        <f t="shared" si="88"/>
        <v>1879.6853534234433</v>
      </c>
      <c r="R359" s="100">
        <v>6774</v>
      </c>
      <c r="S359" s="103">
        <v>42735</v>
      </c>
    </row>
    <row r="360" spans="1:19" s="22" customFormat="1" ht="15.75">
      <c r="A360" s="95">
        <f t="shared" si="84"/>
        <v>303</v>
      </c>
      <c r="B360" s="152" t="s">
        <v>460</v>
      </c>
      <c r="C360" s="105">
        <v>1950</v>
      </c>
      <c r="D360" s="105"/>
      <c r="E360" s="98" t="s">
        <v>148</v>
      </c>
      <c r="F360" s="105">
        <v>2</v>
      </c>
      <c r="G360" s="105">
        <v>2</v>
      </c>
      <c r="H360" s="94">
        <v>377.3</v>
      </c>
      <c r="I360" s="94">
        <v>377.3</v>
      </c>
      <c r="J360" s="94">
        <v>219</v>
      </c>
      <c r="K360" s="106">
        <v>16</v>
      </c>
      <c r="L360" s="88">
        <v>684324</v>
      </c>
      <c r="M360" s="88">
        <v>0</v>
      </c>
      <c r="N360" s="88">
        <v>0</v>
      </c>
      <c r="O360" s="88">
        <f t="shared" si="87"/>
        <v>684324</v>
      </c>
      <c r="P360" s="88">
        <v>0</v>
      </c>
      <c r="Q360" s="165">
        <f t="shared" si="88"/>
        <v>1813.7397296580968</v>
      </c>
      <c r="R360" s="100">
        <v>6774</v>
      </c>
      <c r="S360" s="103">
        <v>42735</v>
      </c>
    </row>
    <row r="361" spans="1:19" s="1" customFormat="1" ht="31.5">
      <c r="A361" s="95">
        <f t="shared" si="84"/>
        <v>304</v>
      </c>
      <c r="B361" s="117" t="s">
        <v>461</v>
      </c>
      <c r="C361" s="105">
        <v>1950</v>
      </c>
      <c r="D361" s="105"/>
      <c r="E361" s="98" t="s">
        <v>143</v>
      </c>
      <c r="F361" s="105">
        <v>2</v>
      </c>
      <c r="G361" s="105">
        <v>1</v>
      </c>
      <c r="H361" s="94">
        <v>458.6</v>
      </c>
      <c r="I361" s="94">
        <v>458.6</v>
      </c>
      <c r="J361" s="94">
        <v>417.7</v>
      </c>
      <c r="K361" s="106">
        <v>19</v>
      </c>
      <c r="L361" s="88">
        <v>834322</v>
      </c>
      <c r="M361" s="88">
        <v>0</v>
      </c>
      <c r="N361" s="88">
        <v>0</v>
      </c>
      <c r="O361" s="88">
        <f t="shared" si="87"/>
        <v>834322</v>
      </c>
      <c r="P361" s="88">
        <v>0</v>
      </c>
      <c r="Q361" s="165">
        <f t="shared" si="88"/>
        <v>1819.2804186655037</v>
      </c>
      <c r="R361" s="100">
        <v>6774</v>
      </c>
      <c r="S361" s="103">
        <v>42735</v>
      </c>
    </row>
    <row r="362" spans="1:19" s="1" customFormat="1" ht="31.5">
      <c r="A362" s="95">
        <f t="shared" si="84"/>
        <v>305</v>
      </c>
      <c r="B362" s="117" t="s">
        <v>313</v>
      </c>
      <c r="C362" s="105">
        <v>1972</v>
      </c>
      <c r="D362" s="105"/>
      <c r="E362" s="98" t="s">
        <v>143</v>
      </c>
      <c r="F362" s="105">
        <v>5</v>
      </c>
      <c r="G362" s="105">
        <v>4</v>
      </c>
      <c r="H362" s="94">
        <v>3294.6</v>
      </c>
      <c r="I362" s="94">
        <v>3294.6</v>
      </c>
      <c r="J362" s="94">
        <v>3013.6</v>
      </c>
      <c r="K362" s="106">
        <v>102</v>
      </c>
      <c r="L362" s="88">
        <v>1709340</v>
      </c>
      <c r="M362" s="88">
        <v>0</v>
      </c>
      <c r="N362" s="88">
        <v>0</v>
      </c>
      <c r="O362" s="88">
        <f t="shared" si="87"/>
        <v>1709340</v>
      </c>
      <c r="P362" s="88">
        <v>0</v>
      </c>
      <c r="Q362" s="165">
        <f t="shared" si="88"/>
        <v>518.83081405936991</v>
      </c>
      <c r="R362" s="100">
        <v>6774</v>
      </c>
      <c r="S362" s="103">
        <v>42735</v>
      </c>
    </row>
    <row r="363" spans="1:19" s="1" customFormat="1" ht="31.5">
      <c r="A363" s="95">
        <f t="shared" si="84"/>
        <v>306</v>
      </c>
      <c r="B363" s="117" t="s">
        <v>314</v>
      </c>
      <c r="C363" s="105">
        <v>1975</v>
      </c>
      <c r="D363" s="105"/>
      <c r="E363" s="98" t="s">
        <v>143</v>
      </c>
      <c r="F363" s="105">
        <v>5</v>
      </c>
      <c r="G363" s="105">
        <v>4</v>
      </c>
      <c r="H363" s="94">
        <v>3056.2</v>
      </c>
      <c r="I363" s="94">
        <v>3056.2</v>
      </c>
      <c r="J363" s="94">
        <v>2786.9</v>
      </c>
      <c r="K363" s="106">
        <v>103</v>
      </c>
      <c r="L363" s="88">
        <v>1716229</v>
      </c>
      <c r="M363" s="88">
        <v>0</v>
      </c>
      <c r="N363" s="88">
        <v>0</v>
      </c>
      <c r="O363" s="88">
        <f t="shared" si="87"/>
        <v>1716229</v>
      </c>
      <c r="P363" s="88">
        <v>0</v>
      </c>
      <c r="Q363" s="165">
        <f t="shared" si="88"/>
        <v>561.55650808193184</v>
      </c>
      <c r="R363" s="100">
        <v>6774</v>
      </c>
      <c r="S363" s="103">
        <v>42735</v>
      </c>
    </row>
    <row r="364" spans="1:19" s="1" customFormat="1" ht="31.5">
      <c r="A364" s="95">
        <f t="shared" si="84"/>
        <v>307</v>
      </c>
      <c r="B364" s="117" t="s">
        <v>462</v>
      </c>
      <c r="C364" s="105">
        <v>1958</v>
      </c>
      <c r="D364" s="105"/>
      <c r="E364" s="98" t="s">
        <v>143</v>
      </c>
      <c r="F364" s="105">
        <v>2</v>
      </c>
      <c r="G364" s="105">
        <v>3</v>
      </c>
      <c r="H364" s="94">
        <v>969.9</v>
      </c>
      <c r="I364" s="94">
        <v>969.9</v>
      </c>
      <c r="J364" s="94">
        <v>619.6</v>
      </c>
      <c r="K364" s="106">
        <v>28</v>
      </c>
      <c r="L364" s="88">
        <v>1825533</v>
      </c>
      <c r="M364" s="88">
        <v>0</v>
      </c>
      <c r="N364" s="88">
        <v>0</v>
      </c>
      <c r="O364" s="88">
        <f t="shared" si="87"/>
        <v>1825533</v>
      </c>
      <c r="P364" s="88">
        <v>0</v>
      </c>
      <c r="Q364" s="165">
        <f t="shared" si="88"/>
        <v>1882.1868233838541</v>
      </c>
      <c r="R364" s="100">
        <v>6774</v>
      </c>
      <c r="S364" s="103">
        <v>42735</v>
      </c>
    </row>
    <row r="365" spans="1:19" s="1" customFormat="1" ht="31.5">
      <c r="A365" s="95">
        <f t="shared" si="84"/>
        <v>308</v>
      </c>
      <c r="B365" s="117" t="s">
        <v>464</v>
      </c>
      <c r="C365" s="105">
        <v>1963</v>
      </c>
      <c r="D365" s="105"/>
      <c r="E365" s="98" t="s">
        <v>143</v>
      </c>
      <c r="F365" s="105">
        <v>2</v>
      </c>
      <c r="G365" s="105">
        <v>1</v>
      </c>
      <c r="H365" s="94">
        <v>298.10000000000002</v>
      </c>
      <c r="I365" s="94">
        <v>298.10000000000002</v>
      </c>
      <c r="J365" s="94">
        <v>205.9</v>
      </c>
      <c r="K365" s="106">
        <v>13</v>
      </c>
      <c r="L365" s="88">
        <v>591280</v>
      </c>
      <c r="M365" s="88">
        <v>0</v>
      </c>
      <c r="N365" s="88">
        <v>0</v>
      </c>
      <c r="O365" s="88">
        <f t="shared" si="87"/>
        <v>591280</v>
      </c>
      <c r="P365" s="88">
        <v>0</v>
      </c>
      <c r="Q365" s="165">
        <f t="shared" si="88"/>
        <v>1983.4954713183495</v>
      </c>
      <c r="R365" s="100">
        <v>6774</v>
      </c>
      <c r="S365" s="103">
        <v>42735</v>
      </c>
    </row>
    <row r="366" spans="1:19" s="1" customFormat="1" ht="15.75">
      <c r="A366" s="95">
        <f t="shared" si="84"/>
        <v>309</v>
      </c>
      <c r="B366" s="166" t="s">
        <v>457</v>
      </c>
      <c r="C366" s="97">
        <v>1917</v>
      </c>
      <c r="D366" s="169"/>
      <c r="E366" s="98" t="s">
        <v>146</v>
      </c>
      <c r="F366" s="97">
        <v>2</v>
      </c>
      <c r="G366" s="97">
        <v>2</v>
      </c>
      <c r="H366" s="100">
        <v>213.1</v>
      </c>
      <c r="I366" s="100">
        <v>213.1</v>
      </c>
      <c r="J366" s="165">
        <v>201.4</v>
      </c>
      <c r="K366" s="101">
        <v>10</v>
      </c>
      <c r="L366" s="88">
        <v>519279</v>
      </c>
      <c r="M366" s="88">
        <v>0</v>
      </c>
      <c r="N366" s="88">
        <v>0</v>
      </c>
      <c r="O366" s="88">
        <f t="shared" si="87"/>
        <v>519279</v>
      </c>
      <c r="P366" s="88">
        <v>0</v>
      </c>
      <c r="Q366" s="165">
        <f t="shared" si="88"/>
        <v>2436.785546691694</v>
      </c>
      <c r="R366" s="100">
        <v>6774</v>
      </c>
      <c r="S366" s="103">
        <v>42735</v>
      </c>
    </row>
    <row r="367" spans="1:19" s="1" customFormat="1" ht="31.5">
      <c r="A367" s="95">
        <f t="shared" si="84"/>
        <v>310</v>
      </c>
      <c r="B367" s="117" t="s">
        <v>465</v>
      </c>
      <c r="C367" s="105">
        <v>1962</v>
      </c>
      <c r="D367" s="105"/>
      <c r="E367" s="98" t="s">
        <v>143</v>
      </c>
      <c r="F367" s="105">
        <v>2</v>
      </c>
      <c r="G367" s="105">
        <v>2</v>
      </c>
      <c r="H367" s="94">
        <v>459.5</v>
      </c>
      <c r="I367" s="94">
        <v>459.5</v>
      </c>
      <c r="J367" s="94">
        <v>296.2</v>
      </c>
      <c r="K367" s="106">
        <v>21</v>
      </c>
      <c r="L367" s="88">
        <v>886584</v>
      </c>
      <c r="M367" s="88">
        <v>0</v>
      </c>
      <c r="N367" s="88">
        <v>0</v>
      </c>
      <c r="O367" s="88">
        <f t="shared" si="87"/>
        <v>886584</v>
      </c>
      <c r="P367" s="88">
        <v>0</v>
      </c>
      <c r="Q367" s="165">
        <f t="shared" si="88"/>
        <v>1929.4537540805222</v>
      </c>
      <c r="R367" s="100">
        <v>6774</v>
      </c>
      <c r="S367" s="103">
        <v>42735</v>
      </c>
    </row>
    <row r="368" spans="1:19" s="1" customFormat="1" ht="31.5">
      <c r="A368" s="95">
        <f t="shared" si="84"/>
        <v>311</v>
      </c>
      <c r="B368" s="166" t="s">
        <v>456</v>
      </c>
      <c r="C368" s="167">
        <v>1955</v>
      </c>
      <c r="D368" s="166"/>
      <c r="E368" s="98" t="s">
        <v>143</v>
      </c>
      <c r="F368" s="167">
        <v>2</v>
      </c>
      <c r="G368" s="167">
        <v>2</v>
      </c>
      <c r="H368" s="165">
        <v>431.2</v>
      </c>
      <c r="I368" s="165">
        <v>431.2</v>
      </c>
      <c r="J368" s="165">
        <v>389.4</v>
      </c>
      <c r="K368" s="168">
        <v>20</v>
      </c>
      <c r="L368" s="88">
        <v>1393960</v>
      </c>
      <c r="M368" s="88">
        <v>0</v>
      </c>
      <c r="N368" s="88">
        <v>0</v>
      </c>
      <c r="O368" s="88">
        <f t="shared" si="87"/>
        <v>1393960</v>
      </c>
      <c r="P368" s="88">
        <v>0</v>
      </c>
      <c r="Q368" s="165">
        <f t="shared" si="88"/>
        <v>3232.7458256029686</v>
      </c>
      <c r="R368" s="100">
        <v>6774</v>
      </c>
      <c r="S368" s="103">
        <v>42735</v>
      </c>
    </row>
    <row r="369" spans="1:19" s="1" customFormat="1" ht="15.75">
      <c r="A369" s="95"/>
      <c r="B369" s="300" t="s">
        <v>57</v>
      </c>
      <c r="C369" s="300"/>
      <c r="D369" s="300"/>
      <c r="E369" s="300"/>
      <c r="F369" s="300"/>
      <c r="G369" s="300"/>
      <c r="H369" s="94">
        <f t="shared" ref="H369:P369" si="89">H373+H370+H375</f>
        <v>5337.4</v>
      </c>
      <c r="I369" s="94">
        <f t="shared" si="89"/>
        <v>4747.5</v>
      </c>
      <c r="J369" s="94">
        <f t="shared" si="89"/>
        <v>4348.8999999999996</v>
      </c>
      <c r="K369" s="151">
        <f t="shared" si="89"/>
        <v>186</v>
      </c>
      <c r="L369" s="88">
        <f t="shared" si="89"/>
        <v>3908951</v>
      </c>
      <c r="M369" s="88">
        <f t="shared" si="89"/>
        <v>0</v>
      </c>
      <c r="N369" s="88">
        <f t="shared" si="89"/>
        <v>92056</v>
      </c>
      <c r="O369" s="88">
        <f t="shared" si="89"/>
        <v>3816895</v>
      </c>
      <c r="P369" s="88">
        <f t="shared" si="89"/>
        <v>0</v>
      </c>
      <c r="Q369" s="94" t="s">
        <v>40</v>
      </c>
      <c r="R369" s="94" t="s">
        <v>40</v>
      </c>
      <c r="S369" s="94" t="s">
        <v>40</v>
      </c>
    </row>
    <row r="370" spans="1:19" s="1" customFormat="1" ht="15.75">
      <c r="A370" s="95"/>
      <c r="B370" s="300" t="s">
        <v>629</v>
      </c>
      <c r="C370" s="300"/>
      <c r="D370" s="300"/>
      <c r="E370" s="300"/>
      <c r="F370" s="300"/>
      <c r="G370" s="300"/>
      <c r="H370" s="94">
        <f>H371+H372</f>
        <v>3681.6</v>
      </c>
      <c r="I370" s="94">
        <f t="shared" ref="I370:P370" si="90">I371+I372</f>
        <v>3155.1</v>
      </c>
      <c r="J370" s="94">
        <f t="shared" si="90"/>
        <v>3155.1</v>
      </c>
      <c r="K370" s="170">
        <f>K371+K372</f>
        <v>121</v>
      </c>
      <c r="L370" s="88">
        <f t="shared" si="90"/>
        <v>2616605</v>
      </c>
      <c r="M370" s="88">
        <f t="shared" si="90"/>
        <v>0</v>
      </c>
      <c r="N370" s="88">
        <f t="shared" si="90"/>
        <v>0</v>
      </c>
      <c r="O370" s="88">
        <f t="shared" si="90"/>
        <v>2616605</v>
      </c>
      <c r="P370" s="88">
        <f t="shared" si="90"/>
        <v>0</v>
      </c>
      <c r="Q370" s="94" t="s">
        <v>40</v>
      </c>
      <c r="R370" s="94" t="s">
        <v>40</v>
      </c>
      <c r="S370" s="94" t="s">
        <v>40</v>
      </c>
    </row>
    <row r="371" spans="1:19" s="38" customFormat="1" ht="31.5">
      <c r="A371" s="95">
        <f>A368+1</f>
        <v>312</v>
      </c>
      <c r="B371" s="171" t="s">
        <v>467</v>
      </c>
      <c r="C371" s="172">
        <v>1969</v>
      </c>
      <c r="D371" s="172"/>
      <c r="E371" s="98" t="s">
        <v>143</v>
      </c>
      <c r="F371" s="172">
        <v>5</v>
      </c>
      <c r="G371" s="172">
        <v>4</v>
      </c>
      <c r="H371" s="173">
        <v>3204.7</v>
      </c>
      <c r="I371" s="173">
        <v>2822.2</v>
      </c>
      <c r="J371" s="92">
        <v>2822.2</v>
      </c>
      <c r="K371" s="91">
        <v>98</v>
      </c>
      <c r="L371" s="88">
        <v>1653452</v>
      </c>
      <c r="M371" s="88">
        <v>0</v>
      </c>
      <c r="N371" s="88">
        <v>0</v>
      </c>
      <c r="O371" s="88">
        <f>L371</f>
        <v>1653452</v>
      </c>
      <c r="P371" s="88">
        <v>0</v>
      </c>
      <c r="Q371" s="100">
        <f>L371/I371</f>
        <v>585.87343207426829</v>
      </c>
      <c r="R371" s="102">
        <v>6774</v>
      </c>
      <c r="S371" s="103">
        <v>42735</v>
      </c>
    </row>
    <row r="372" spans="1:19" s="38" customFormat="1" ht="31.5">
      <c r="A372" s="95">
        <f t="shared" si="84"/>
        <v>313</v>
      </c>
      <c r="B372" s="135" t="s">
        <v>468</v>
      </c>
      <c r="C372" s="121">
        <v>1952</v>
      </c>
      <c r="D372" s="121"/>
      <c r="E372" s="98" t="s">
        <v>143</v>
      </c>
      <c r="F372" s="121">
        <v>2</v>
      </c>
      <c r="G372" s="121">
        <v>1</v>
      </c>
      <c r="H372" s="174">
        <v>476.9</v>
      </c>
      <c r="I372" s="174">
        <v>332.9</v>
      </c>
      <c r="J372" s="102">
        <v>332.9</v>
      </c>
      <c r="K372" s="95">
        <v>23</v>
      </c>
      <c r="L372" s="88">
        <v>963153</v>
      </c>
      <c r="M372" s="88">
        <v>0</v>
      </c>
      <c r="N372" s="88">
        <v>0</v>
      </c>
      <c r="O372" s="88">
        <f>L372</f>
        <v>963153</v>
      </c>
      <c r="P372" s="88">
        <v>0</v>
      </c>
      <c r="Q372" s="100">
        <f>L372/I372</f>
        <v>2893.2201862421148</v>
      </c>
      <c r="R372" s="102">
        <v>6774</v>
      </c>
      <c r="S372" s="103">
        <v>42735</v>
      </c>
    </row>
    <row r="373" spans="1:19" s="1" customFormat="1" ht="15.75" customHeight="1">
      <c r="A373" s="95"/>
      <c r="B373" s="299" t="s">
        <v>630</v>
      </c>
      <c r="C373" s="299"/>
      <c r="D373" s="299"/>
      <c r="E373" s="299"/>
      <c r="F373" s="299"/>
      <c r="G373" s="299"/>
      <c r="H373" s="94">
        <f>H374</f>
        <v>799.3</v>
      </c>
      <c r="I373" s="94">
        <f t="shared" ref="I373:P373" si="91">I374</f>
        <v>735.9</v>
      </c>
      <c r="J373" s="94">
        <f t="shared" si="91"/>
        <v>693.8</v>
      </c>
      <c r="K373" s="106">
        <f t="shared" si="91"/>
        <v>32</v>
      </c>
      <c r="L373" s="88">
        <v>201010</v>
      </c>
      <c r="M373" s="88">
        <f t="shared" si="91"/>
        <v>0</v>
      </c>
      <c r="N373" s="88">
        <f t="shared" si="91"/>
        <v>92056</v>
      </c>
      <c r="O373" s="88">
        <f t="shared" si="91"/>
        <v>108954</v>
      </c>
      <c r="P373" s="88">
        <f t="shared" si="91"/>
        <v>0</v>
      </c>
      <c r="Q373" s="94" t="s">
        <v>40</v>
      </c>
      <c r="R373" s="94" t="s">
        <v>40</v>
      </c>
      <c r="S373" s="94" t="s">
        <v>40</v>
      </c>
    </row>
    <row r="374" spans="1:19" s="1" customFormat="1" ht="15.75">
      <c r="A374" s="95">
        <f>A372+1</f>
        <v>314</v>
      </c>
      <c r="B374" s="113" t="s">
        <v>469</v>
      </c>
      <c r="C374" s="91">
        <v>1977</v>
      </c>
      <c r="D374" s="105"/>
      <c r="E374" s="98" t="s">
        <v>144</v>
      </c>
      <c r="F374" s="105">
        <v>2</v>
      </c>
      <c r="G374" s="105">
        <v>2</v>
      </c>
      <c r="H374" s="94">
        <v>799.3</v>
      </c>
      <c r="I374" s="94">
        <v>735.9</v>
      </c>
      <c r="J374" s="94">
        <v>693.8</v>
      </c>
      <c r="K374" s="106">
        <v>32</v>
      </c>
      <c r="L374" s="88">
        <v>201010</v>
      </c>
      <c r="M374" s="88">
        <v>0</v>
      </c>
      <c r="N374" s="88">
        <v>92056</v>
      </c>
      <c r="O374" s="88">
        <v>108954</v>
      </c>
      <c r="P374" s="88">
        <v>0</v>
      </c>
      <c r="Q374" s="94">
        <f>L374/I374</f>
        <v>273.14852561489334</v>
      </c>
      <c r="R374" s="100">
        <v>6774</v>
      </c>
      <c r="S374" s="103">
        <v>42735</v>
      </c>
    </row>
    <row r="375" spans="1:19" s="22" customFormat="1" ht="15.75" customHeight="1">
      <c r="A375" s="95"/>
      <c r="B375" s="294" t="s">
        <v>631</v>
      </c>
      <c r="C375" s="294"/>
      <c r="D375" s="294"/>
      <c r="E375" s="294"/>
      <c r="F375" s="294"/>
      <c r="G375" s="294"/>
      <c r="H375" s="94">
        <f>H376</f>
        <v>856.5</v>
      </c>
      <c r="I375" s="94">
        <f t="shared" ref="I375:P375" si="92">I376</f>
        <v>856.5</v>
      </c>
      <c r="J375" s="94">
        <f t="shared" si="92"/>
        <v>500</v>
      </c>
      <c r="K375" s="175">
        <f t="shared" si="92"/>
        <v>33</v>
      </c>
      <c r="L375" s="88">
        <f t="shared" si="92"/>
        <v>1091336</v>
      </c>
      <c r="M375" s="88">
        <f t="shared" si="92"/>
        <v>0</v>
      </c>
      <c r="N375" s="88">
        <f t="shared" si="92"/>
        <v>0</v>
      </c>
      <c r="O375" s="88">
        <f t="shared" si="92"/>
        <v>1091336</v>
      </c>
      <c r="P375" s="88">
        <f t="shared" si="92"/>
        <v>0</v>
      </c>
      <c r="Q375" s="94" t="s">
        <v>40</v>
      </c>
      <c r="R375" s="100" t="s">
        <v>40</v>
      </c>
      <c r="S375" s="103" t="s">
        <v>40</v>
      </c>
    </row>
    <row r="376" spans="1:19" s="22" customFormat="1" ht="31.5">
      <c r="A376" s="95">
        <f>A374+1</f>
        <v>315</v>
      </c>
      <c r="B376" s="142" t="s">
        <v>470</v>
      </c>
      <c r="C376" s="91">
        <v>1982</v>
      </c>
      <c r="D376" s="105"/>
      <c r="E376" s="98" t="s">
        <v>143</v>
      </c>
      <c r="F376" s="105">
        <v>2</v>
      </c>
      <c r="G376" s="105">
        <v>3</v>
      </c>
      <c r="H376" s="94">
        <v>856.5</v>
      </c>
      <c r="I376" s="94">
        <v>856.5</v>
      </c>
      <c r="J376" s="94">
        <v>500</v>
      </c>
      <c r="K376" s="106">
        <v>33</v>
      </c>
      <c r="L376" s="88">
        <v>1091336</v>
      </c>
      <c r="M376" s="88">
        <v>0</v>
      </c>
      <c r="N376" s="88">
        <v>0</v>
      </c>
      <c r="O376" s="88">
        <f>L376</f>
        <v>1091336</v>
      </c>
      <c r="P376" s="88">
        <v>0</v>
      </c>
      <c r="Q376" s="94">
        <f>L376/I376</f>
        <v>1274.1809690601285</v>
      </c>
      <c r="R376" s="100">
        <v>6774</v>
      </c>
      <c r="S376" s="103">
        <v>42735</v>
      </c>
    </row>
    <row r="377" spans="1:19" s="1" customFormat="1" ht="15.75">
      <c r="A377" s="95"/>
      <c r="B377" s="300" t="s">
        <v>58</v>
      </c>
      <c r="C377" s="300"/>
      <c r="D377" s="300"/>
      <c r="E377" s="300"/>
      <c r="F377" s="300"/>
      <c r="G377" s="300"/>
      <c r="H377" s="94">
        <f t="shared" ref="H377:J377" si="93">H378+H389+H391+H394+H401+H403+H405</f>
        <v>95784.5</v>
      </c>
      <c r="I377" s="94">
        <f t="shared" si="93"/>
        <v>78855.100000000006</v>
      </c>
      <c r="J377" s="94">
        <f t="shared" si="93"/>
        <v>75022.900000000009</v>
      </c>
      <c r="K377" s="106">
        <f>K378+K389+K391+K394+K401+K403+K405</f>
        <v>3266</v>
      </c>
      <c r="L377" s="88">
        <f>L391+L394+L401+L403+L405+L378+L389</f>
        <v>48793546.890000001</v>
      </c>
      <c r="M377" s="88">
        <f t="shared" ref="M377:O377" si="94">M391+M394+M401+M403+M405+M378+M389</f>
        <v>0</v>
      </c>
      <c r="N377" s="88">
        <f t="shared" si="94"/>
        <v>146321.84</v>
      </c>
      <c r="O377" s="88">
        <f t="shared" si="94"/>
        <v>48647225.049999997</v>
      </c>
      <c r="P377" s="88">
        <f>P391+P394+P401+P403+P405+P378+P389</f>
        <v>0</v>
      </c>
      <c r="Q377" s="94" t="s">
        <v>40</v>
      </c>
      <c r="R377" s="94" t="s">
        <v>40</v>
      </c>
      <c r="S377" s="94" t="s">
        <v>40</v>
      </c>
    </row>
    <row r="378" spans="1:19" s="1" customFormat="1" ht="15.75">
      <c r="A378" s="95"/>
      <c r="B378" s="300" t="s">
        <v>632</v>
      </c>
      <c r="C378" s="300"/>
      <c r="D378" s="300"/>
      <c r="E378" s="300"/>
      <c r="F378" s="300"/>
      <c r="G378" s="300"/>
      <c r="H378" s="94">
        <f>SUM(H379:H388)</f>
        <v>65072.799999999996</v>
      </c>
      <c r="I378" s="94">
        <f t="shared" ref="I378:P378" si="95">SUM(I379:I388)</f>
        <v>50459.400000000009</v>
      </c>
      <c r="J378" s="94">
        <f t="shared" si="95"/>
        <v>48107.399999999994</v>
      </c>
      <c r="K378" s="106">
        <f t="shared" si="95"/>
        <v>2093</v>
      </c>
      <c r="L378" s="88">
        <f>SUM(L379:L388)</f>
        <v>29336490</v>
      </c>
      <c r="M378" s="88">
        <f t="shared" si="95"/>
        <v>0</v>
      </c>
      <c r="N378" s="88">
        <f t="shared" si="95"/>
        <v>0</v>
      </c>
      <c r="O378" s="88">
        <f t="shared" si="95"/>
        <v>29336490</v>
      </c>
      <c r="P378" s="88">
        <f t="shared" si="95"/>
        <v>0</v>
      </c>
      <c r="Q378" s="94" t="s">
        <v>40</v>
      </c>
      <c r="R378" s="94" t="s">
        <v>40</v>
      </c>
      <c r="S378" s="94" t="s">
        <v>40</v>
      </c>
    </row>
    <row r="379" spans="1:19" s="20" customFormat="1" ht="15.75">
      <c r="A379" s="95">
        <f>A376+1</f>
        <v>316</v>
      </c>
      <c r="B379" s="176" t="s">
        <v>478</v>
      </c>
      <c r="C379" s="90">
        <v>1969</v>
      </c>
      <c r="D379" s="90"/>
      <c r="E379" s="98" t="s">
        <v>145</v>
      </c>
      <c r="F379" s="90">
        <v>5</v>
      </c>
      <c r="G379" s="90">
        <v>4</v>
      </c>
      <c r="H379" s="89">
        <v>3581.3</v>
      </c>
      <c r="I379" s="89">
        <v>3477</v>
      </c>
      <c r="J379" s="89">
        <f>I379-44.8</f>
        <v>3432.2</v>
      </c>
      <c r="K379" s="143">
        <v>126</v>
      </c>
      <c r="L379" s="88">
        <v>2092686</v>
      </c>
      <c r="M379" s="88">
        <v>0</v>
      </c>
      <c r="N379" s="88">
        <v>0</v>
      </c>
      <c r="O379" s="88">
        <f t="shared" ref="O379:O388" si="96">L379</f>
        <v>2092686</v>
      </c>
      <c r="P379" s="88">
        <v>0</v>
      </c>
      <c r="Q379" s="100">
        <f t="shared" ref="Q379:Q388" si="97">L379/I379</f>
        <v>601.86540120793791</v>
      </c>
      <c r="R379" s="100">
        <v>6774</v>
      </c>
      <c r="S379" s="103">
        <v>42735</v>
      </c>
    </row>
    <row r="380" spans="1:19" s="20" customFormat="1" ht="31.5">
      <c r="A380" s="95">
        <f t="shared" si="84"/>
        <v>317</v>
      </c>
      <c r="B380" s="176" t="s">
        <v>471</v>
      </c>
      <c r="C380" s="90">
        <v>1988</v>
      </c>
      <c r="D380" s="90"/>
      <c r="E380" s="98" t="s">
        <v>143</v>
      </c>
      <c r="F380" s="90">
        <v>9</v>
      </c>
      <c r="G380" s="90">
        <v>2</v>
      </c>
      <c r="H380" s="89">
        <v>5218.5</v>
      </c>
      <c r="I380" s="89">
        <v>3736.9</v>
      </c>
      <c r="J380" s="89">
        <f>3736.9-418.8</f>
        <v>3318.1</v>
      </c>
      <c r="K380" s="143">
        <v>172</v>
      </c>
      <c r="L380" s="88">
        <v>3723571</v>
      </c>
      <c r="M380" s="88">
        <v>0</v>
      </c>
      <c r="N380" s="88">
        <v>0</v>
      </c>
      <c r="O380" s="88">
        <f t="shared" si="96"/>
        <v>3723571</v>
      </c>
      <c r="P380" s="88">
        <v>0</v>
      </c>
      <c r="Q380" s="100">
        <f t="shared" si="97"/>
        <v>996.43313976825709</v>
      </c>
      <c r="R380" s="100">
        <v>6774</v>
      </c>
      <c r="S380" s="103">
        <v>42735</v>
      </c>
    </row>
    <row r="381" spans="1:19" s="20" customFormat="1" ht="15.75">
      <c r="A381" s="95">
        <f t="shared" si="84"/>
        <v>318</v>
      </c>
      <c r="B381" s="176" t="s">
        <v>472</v>
      </c>
      <c r="C381" s="90">
        <v>1988</v>
      </c>
      <c r="D381" s="90"/>
      <c r="E381" s="98" t="s">
        <v>144</v>
      </c>
      <c r="F381" s="90">
        <v>9</v>
      </c>
      <c r="G381" s="90">
        <v>2</v>
      </c>
      <c r="H381" s="89">
        <v>5905.8</v>
      </c>
      <c r="I381" s="89">
        <v>4249.1000000000004</v>
      </c>
      <c r="J381" s="89">
        <f>I381-65</f>
        <v>4184.1000000000004</v>
      </c>
      <c r="K381" s="143">
        <v>180</v>
      </c>
      <c r="L381" s="88">
        <v>3728342</v>
      </c>
      <c r="M381" s="88">
        <v>0</v>
      </c>
      <c r="N381" s="88">
        <v>0</v>
      </c>
      <c r="O381" s="88">
        <f t="shared" si="96"/>
        <v>3728342</v>
      </c>
      <c r="P381" s="88">
        <v>0</v>
      </c>
      <c r="Q381" s="100">
        <f t="shared" si="97"/>
        <v>877.44275258289986</v>
      </c>
      <c r="R381" s="100">
        <v>6774</v>
      </c>
      <c r="S381" s="103">
        <v>42735</v>
      </c>
    </row>
    <row r="382" spans="1:19" s="20" customFormat="1" ht="15.75">
      <c r="A382" s="95">
        <f t="shared" si="84"/>
        <v>319</v>
      </c>
      <c r="B382" s="176" t="s">
        <v>479</v>
      </c>
      <c r="C382" s="90">
        <v>1985</v>
      </c>
      <c r="D382" s="90"/>
      <c r="E382" s="98" t="s">
        <v>144</v>
      </c>
      <c r="F382" s="90">
        <v>9</v>
      </c>
      <c r="G382" s="90">
        <v>5</v>
      </c>
      <c r="H382" s="89">
        <v>10790</v>
      </c>
      <c r="I382" s="89">
        <v>9275.9</v>
      </c>
      <c r="J382" s="89">
        <f>9275.9-679.7</f>
        <v>8596.1999999999989</v>
      </c>
      <c r="K382" s="143">
        <v>371</v>
      </c>
      <c r="L382" s="88">
        <v>7496810</v>
      </c>
      <c r="M382" s="88">
        <v>0</v>
      </c>
      <c r="N382" s="88">
        <v>0</v>
      </c>
      <c r="O382" s="88">
        <f t="shared" si="96"/>
        <v>7496810</v>
      </c>
      <c r="P382" s="88">
        <v>0</v>
      </c>
      <c r="Q382" s="100">
        <f t="shared" si="97"/>
        <v>808.20297760864173</v>
      </c>
      <c r="R382" s="100">
        <v>6774</v>
      </c>
      <c r="S382" s="103">
        <v>42735</v>
      </c>
    </row>
    <row r="383" spans="1:19" s="20" customFormat="1" ht="15.75">
      <c r="A383" s="95">
        <f t="shared" si="84"/>
        <v>320</v>
      </c>
      <c r="B383" s="176" t="s">
        <v>475</v>
      </c>
      <c r="C383" s="90">
        <v>1990</v>
      </c>
      <c r="D383" s="90"/>
      <c r="E383" s="98" t="s">
        <v>144</v>
      </c>
      <c r="F383" s="90">
        <v>9</v>
      </c>
      <c r="G383" s="90">
        <v>3</v>
      </c>
      <c r="H383" s="89">
        <v>7717.9</v>
      </c>
      <c r="I383" s="89">
        <v>5473.3</v>
      </c>
      <c r="J383" s="89">
        <f>I383-426</f>
        <v>5047.3</v>
      </c>
      <c r="K383" s="143">
        <v>236</v>
      </c>
      <c r="L383" s="88">
        <v>1883037</v>
      </c>
      <c r="M383" s="88">
        <v>0</v>
      </c>
      <c r="N383" s="88">
        <v>0</v>
      </c>
      <c r="O383" s="88">
        <f t="shared" si="96"/>
        <v>1883037</v>
      </c>
      <c r="P383" s="88">
        <v>0</v>
      </c>
      <c r="Q383" s="100">
        <f t="shared" si="97"/>
        <v>344.04052399831909</v>
      </c>
      <c r="R383" s="100">
        <v>6774</v>
      </c>
      <c r="S383" s="103">
        <v>42735</v>
      </c>
    </row>
    <row r="384" spans="1:19" s="48" customFormat="1" ht="15.75">
      <c r="A384" s="95">
        <f t="shared" si="84"/>
        <v>321</v>
      </c>
      <c r="B384" s="176" t="s">
        <v>476</v>
      </c>
      <c r="C384" s="90">
        <v>1989</v>
      </c>
      <c r="D384" s="90"/>
      <c r="E384" s="98" t="s">
        <v>144</v>
      </c>
      <c r="F384" s="90">
        <v>9</v>
      </c>
      <c r="G384" s="90">
        <v>2</v>
      </c>
      <c r="H384" s="89">
        <v>5173.6000000000004</v>
      </c>
      <c r="I384" s="89">
        <v>3702.9</v>
      </c>
      <c r="J384" s="89">
        <f>3702.9-113.2</f>
        <v>3589.7000000000003</v>
      </c>
      <c r="K384" s="143">
        <v>148</v>
      </c>
      <c r="L384" s="88">
        <v>1873250</v>
      </c>
      <c r="M384" s="88">
        <v>0</v>
      </c>
      <c r="N384" s="88">
        <v>0</v>
      </c>
      <c r="O384" s="88">
        <f t="shared" si="96"/>
        <v>1873250</v>
      </c>
      <c r="P384" s="88">
        <v>0</v>
      </c>
      <c r="Q384" s="100">
        <f t="shared" si="97"/>
        <v>505.88727753922598</v>
      </c>
      <c r="R384" s="100">
        <v>6774</v>
      </c>
      <c r="S384" s="103">
        <v>42735</v>
      </c>
    </row>
    <row r="385" spans="1:19" s="20" customFormat="1" ht="15.75">
      <c r="A385" s="95">
        <f t="shared" si="84"/>
        <v>322</v>
      </c>
      <c r="B385" s="176" t="s">
        <v>474</v>
      </c>
      <c r="C385" s="90">
        <v>1987</v>
      </c>
      <c r="D385" s="90"/>
      <c r="E385" s="98" t="s">
        <v>144</v>
      </c>
      <c r="F385" s="90">
        <v>9</v>
      </c>
      <c r="G385" s="90">
        <v>3</v>
      </c>
      <c r="H385" s="89">
        <v>7788.1</v>
      </c>
      <c r="I385" s="89">
        <v>5529.2</v>
      </c>
      <c r="J385" s="89">
        <f>5529.2-163.5</f>
        <v>5365.7</v>
      </c>
      <c r="K385" s="143">
        <v>219</v>
      </c>
      <c r="L385" s="88">
        <v>1883308</v>
      </c>
      <c r="M385" s="88">
        <v>0</v>
      </c>
      <c r="N385" s="88">
        <v>0</v>
      </c>
      <c r="O385" s="88">
        <f t="shared" si="96"/>
        <v>1883308</v>
      </c>
      <c r="P385" s="88">
        <v>0</v>
      </c>
      <c r="Q385" s="100">
        <f t="shared" si="97"/>
        <v>340.61130000723432</v>
      </c>
      <c r="R385" s="100">
        <v>6774</v>
      </c>
      <c r="S385" s="103">
        <v>42735</v>
      </c>
    </row>
    <row r="386" spans="1:19" s="48" customFormat="1" ht="15.75">
      <c r="A386" s="95">
        <f t="shared" si="84"/>
        <v>323</v>
      </c>
      <c r="B386" s="176" t="s">
        <v>477</v>
      </c>
      <c r="C386" s="90">
        <v>1972</v>
      </c>
      <c r="D386" s="90"/>
      <c r="E386" s="98" t="s">
        <v>144</v>
      </c>
      <c r="F386" s="90">
        <v>5</v>
      </c>
      <c r="G386" s="90">
        <v>6</v>
      </c>
      <c r="H386" s="89">
        <v>5161.6000000000004</v>
      </c>
      <c r="I386" s="89">
        <v>3818.9</v>
      </c>
      <c r="J386" s="89">
        <f>3818.9-187.5</f>
        <v>3631.4</v>
      </c>
      <c r="K386" s="143">
        <v>176</v>
      </c>
      <c r="L386" s="88">
        <v>1029793</v>
      </c>
      <c r="M386" s="88">
        <v>0</v>
      </c>
      <c r="N386" s="88">
        <v>0</v>
      </c>
      <c r="O386" s="88">
        <f t="shared" si="96"/>
        <v>1029793</v>
      </c>
      <c r="P386" s="88">
        <v>0</v>
      </c>
      <c r="Q386" s="100">
        <f t="shared" si="97"/>
        <v>269.65696928434892</v>
      </c>
      <c r="R386" s="100">
        <v>6774</v>
      </c>
      <c r="S386" s="103">
        <v>42735</v>
      </c>
    </row>
    <row r="387" spans="1:19" s="20" customFormat="1" ht="15.75">
      <c r="A387" s="95">
        <f t="shared" si="84"/>
        <v>324</v>
      </c>
      <c r="B387" s="176" t="s">
        <v>480</v>
      </c>
      <c r="C387" s="90">
        <v>1988</v>
      </c>
      <c r="D387" s="90"/>
      <c r="E387" s="98" t="s">
        <v>144</v>
      </c>
      <c r="F387" s="90">
        <v>9</v>
      </c>
      <c r="G387" s="90">
        <v>4</v>
      </c>
      <c r="H387" s="89">
        <v>10415.1</v>
      </c>
      <c r="I387" s="89">
        <v>7938.9</v>
      </c>
      <c r="J387" s="89">
        <f>7938.9-210.8</f>
        <v>7728.0999999999995</v>
      </c>
      <c r="K387" s="143">
        <v>324</v>
      </c>
      <c r="L387" s="88">
        <v>3759580</v>
      </c>
      <c r="M387" s="88">
        <v>0</v>
      </c>
      <c r="N387" s="88">
        <v>0</v>
      </c>
      <c r="O387" s="88">
        <f t="shared" si="96"/>
        <v>3759580</v>
      </c>
      <c r="P387" s="88">
        <v>0</v>
      </c>
      <c r="Q387" s="100">
        <f t="shared" si="97"/>
        <v>473.56434770560156</v>
      </c>
      <c r="R387" s="100">
        <v>6774</v>
      </c>
      <c r="S387" s="103">
        <v>42735</v>
      </c>
    </row>
    <row r="388" spans="1:19" s="20" customFormat="1" ht="31.5">
      <c r="A388" s="95">
        <f t="shared" si="84"/>
        <v>325</v>
      </c>
      <c r="B388" s="104" t="s">
        <v>473</v>
      </c>
      <c r="C388" s="90">
        <v>1989</v>
      </c>
      <c r="D388" s="90"/>
      <c r="E388" s="98" t="s">
        <v>143</v>
      </c>
      <c r="F388" s="90">
        <v>9</v>
      </c>
      <c r="G388" s="90">
        <v>1</v>
      </c>
      <c r="H388" s="89">
        <v>3320.9</v>
      </c>
      <c r="I388" s="89">
        <v>3257.3</v>
      </c>
      <c r="J388" s="89">
        <f>I388-42.7</f>
        <v>3214.6000000000004</v>
      </c>
      <c r="K388" s="143">
        <v>141</v>
      </c>
      <c r="L388" s="88">
        <v>1866113</v>
      </c>
      <c r="M388" s="88">
        <v>0</v>
      </c>
      <c r="N388" s="88">
        <v>0</v>
      </c>
      <c r="O388" s="88">
        <f t="shared" si="96"/>
        <v>1866113</v>
      </c>
      <c r="P388" s="88">
        <v>0</v>
      </c>
      <c r="Q388" s="100">
        <f t="shared" si="97"/>
        <v>572.90178982592943</v>
      </c>
      <c r="R388" s="100">
        <v>6774</v>
      </c>
      <c r="S388" s="103">
        <v>42735</v>
      </c>
    </row>
    <row r="389" spans="1:19" s="20" customFormat="1" ht="15.75" customHeight="1">
      <c r="A389" s="95"/>
      <c r="B389" s="321" t="s">
        <v>633</v>
      </c>
      <c r="C389" s="321"/>
      <c r="D389" s="321"/>
      <c r="E389" s="321"/>
      <c r="F389" s="321"/>
      <c r="G389" s="321"/>
      <c r="H389" s="89">
        <f>H390</f>
        <v>4542</v>
      </c>
      <c r="I389" s="89">
        <f t="shared" ref="I389:P389" si="98">I390</f>
        <v>4266</v>
      </c>
      <c r="J389" s="89">
        <f t="shared" si="98"/>
        <v>4110</v>
      </c>
      <c r="K389" s="143">
        <f t="shared" si="98"/>
        <v>177</v>
      </c>
      <c r="L389" s="88">
        <f t="shared" si="98"/>
        <v>2543251</v>
      </c>
      <c r="M389" s="88">
        <f t="shared" si="98"/>
        <v>0</v>
      </c>
      <c r="N389" s="88">
        <f t="shared" si="98"/>
        <v>0</v>
      </c>
      <c r="O389" s="88">
        <f t="shared" si="98"/>
        <v>2543251</v>
      </c>
      <c r="P389" s="88">
        <f t="shared" si="98"/>
        <v>0</v>
      </c>
      <c r="Q389" s="100" t="s">
        <v>40</v>
      </c>
      <c r="R389" s="100" t="s">
        <v>40</v>
      </c>
      <c r="S389" s="105" t="s">
        <v>40</v>
      </c>
    </row>
    <row r="390" spans="1:19" s="20" customFormat="1" ht="31.5">
      <c r="A390" s="95">
        <f>A388+1</f>
        <v>326</v>
      </c>
      <c r="B390" s="176" t="s">
        <v>114</v>
      </c>
      <c r="C390" s="90">
        <v>1977</v>
      </c>
      <c r="D390" s="90"/>
      <c r="E390" s="98" t="s">
        <v>143</v>
      </c>
      <c r="F390" s="90">
        <v>5</v>
      </c>
      <c r="G390" s="90">
        <v>6</v>
      </c>
      <c r="H390" s="89">
        <v>4542</v>
      </c>
      <c r="I390" s="89">
        <v>4266</v>
      </c>
      <c r="J390" s="89">
        <v>4110</v>
      </c>
      <c r="K390" s="143">
        <v>177</v>
      </c>
      <c r="L390" s="88">
        <v>2543251</v>
      </c>
      <c r="M390" s="88">
        <v>0</v>
      </c>
      <c r="N390" s="88">
        <v>0</v>
      </c>
      <c r="O390" s="88">
        <f>L390</f>
        <v>2543251</v>
      </c>
      <c r="P390" s="88">
        <v>0</v>
      </c>
      <c r="Q390" s="100">
        <f>L390/I390</f>
        <v>596.16760431317391</v>
      </c>
      <c r="R390" s="100">
        <v>6774</v>
      </c>
      <c r="S390" s="103">
        <v>42735</v>
      </c>
    </row>
    <row r="391" spans="1:19" s="1" customFormat="1" ht="15.75" customHeight="1">
      <c r="A391" s="95"/>
      <c r="B391" s="299" t="s">
        <v>634</v>
      </c>
      <c r="C391" s="299"/>
      <c r="D391" s="299"/>
      <c r="E391" s="299"/>
      <c r="F391" s="299"/>
      <c r="G391" s="299"/>
      <c r="H391" s="94">
        <f>SUM(H392:H393)</f>
        <v>1452.3000000000002</v>
      </c>
      <c r="I391" s="94">
        <f t="shared" ref="I391:N391" si="99">SUM(I392:I393)</f>
        <v>1353.3</v>
      </c>
      <c r="J391" s="94">
        <f t="shared" si="99"/>
        <v>1235.3</v>
      </c>
      <c r="K391" s="106">
        <f t="shared" si="99"/>
        <v>57</v>
      </c>
      <c r="L391" s="88">
        <f t="shared" si="99"/>
        <v>1515535.13</v>
      </c>
      <c r="M391" s="88">
        <f t="shared" si="99"/>
        <v>0</v>
      </c>
      <c r="N391" s="88">
        <f t="shared" si="99"/>
        <v>0</v>
      </c>
      <c r="O391" s="88">
        <f>SUM(O392:O393)</f>
        <v>1515535.13</v>
      </c>
      <c r="P391" s="88">
        <v>0</v>
      </c>
      <c r="Q391" s="94" t="s">
        <v>40</v>
      </c>
      <c r="R391" s="94" t="s">
        <v>40</v>
      </c>
      <c r="S391" s="94" t="s">
        <v>40</v>
      </c>
    </row>
    <row r="392" spans="1:19" s="1" customFormat="1" ht="31.5">
      <c r="A392" s="95">
        <f>A390+1</f>
        <v>327</v>
      </c>
      <c r="B392" s="142" t="s">
        <v>481</v>
      </c>
      <c r="C392" s="95">
        <v>1957</v>
      </c>
      <c r="D392" s="97"/>
      <c r="E392" s="98" t="s">
        <v>143</v>
      </c>
      <c r="F392" s="97">
        <v>2</v>
      </c>
      <c r="G392" s="97">
        <v>2</v>
      </c>
      <c r="H392" s="100">
        <v>621.70000000000005</v>
      </c>
      <c r="I392" s="100">
        <v>576.5</v>
      </c>
      <c r="J392" s="100">
        <v>576.5</v>
      </c>
      <c r="K392" s="101">
        <v>28</v>
      </c>
      <c r="L392" s="88">
        <v>1082234</v>
      </c>
      <c r="M392" s="88">
        <v>0</v>
      </c>
      <c r="N392" s="88">
        <v>0</v>
      </c>
      <c r="O392" s="88">
        <v>1082234</v>
      </c>
      <c r="P392" s="88">
        <v>0</v>
      </c>
      <c r="Q392" s="100">
        <f>L392/I392</f>
        <v>1877.2489158716392</v>
      </c>
      <c r="R392" s="100">
        <v>6774</v>
      </c>
      <c r="S392" s="103">
        <v>42735</v>
      </c>
    </row>
    <row r="393" spans="1:19" s="1" customFormat="1" ht="15.75">
      <c r="A393" s="95">
        <f>A392+1</f>
        <v>328</v>
      </c>
      <c r="B393" s="152" t="s">
        <v>482</v>
      </c>
      <c r="C393" s="97">
        <v>1968</v>
      </c>
      <c r="D393" s="97"/>
      <c r="E393" s="98" t="s">
        <v>146</v>
      </c>
      <c r="F393" s="97">
        <v>2</v>
      </c>
      <c r="G393" s="97">
        <v>2</v>
      </c>
      <c r="H393" s="100">
        <v>830.6</v>
      </c>
      <c r="I393" s="100">
        <v>776.8</v>
      </c>
      <c r="J393" s="100">
        <v>658.8</v>
      </c>
      <c r="K393" s="101">
        <v>29</v>
      </c>
      <c r="L393" s="88">
        <v>433301.13</v>
      </c>
      <c r="M393" s="88">
        <v>0</v>
      </c>
      <c r="N393" s="88">
        <v>0</v>
      </c>
      <c r="O393" s="88">
        <v>433301.13</v>
      </c>
      <c r="P393" s="88">
        <v>0</v>
      </c>
      <c r="Q393" s="100">
        <f>L393/I393</f>
        <v>557.80269052523181</v>
      </c>
      <c r="R393" s="100">
        <v>6774</v>
      </c>
      <c r="S393" s="103">
        <v>42735</v>
      </c>
    </row>
    <row r="394" spans="1:19" s="1" customFormat="1" ht="15.75" customHeight="1">
      <c r="A394" s="95"/>
      <c r="B394" s="294" t="s">
        <v>635</v>
      </c>
      <c r="C394" s="294"/>
      <c r="D394" s="294"/>
      <c r="E394" s="294"/>
      <c r="F394" s="294"/>
      <c r="G394" s="294"/>
      <c r="H394" s="100">
        <f>SUM(H395:H400)</f>
        <v>20005.300000000003</v>
      </c>
      <c r="I394" s="100">
        <f t="shared" ref="I394:P394" si="100">SUM(I395:I400)</f>
        <v>18338.2</v>
      </c>
      <c r="J394" s="100">
        <f t="shared" si="100"/>
        <v>17685.699999999997</v>
      </c>
      <c r="K394" s="99">
        <f>SUM(K395:K400)</f>
        <v>696</v>
      </c>
      <c r="L394" s="88">
        <f t="shared" si="100"/>
        <v>10791172</v>
      </c>
      <c r="M394" s="88">
        <f t="shared" si="100"/>
        <v>0</v>
      </c>
      <c r="N394" s="88">
        <f t="shared" si="100"/>
        <v>0</v>
      </c>
      <c r="O394" s="88">
        <f t="shared" si="100"/>
        <v>10791172</v>
      </c>
      <c r="P394" s="88">
        <f t="shared" si="100"/>
        <v>0</v>
      </c>
      <c r="Q394" s="177" t="s">
        <v>40</v>
      </c>
      <c r="R394" s="100" t="s">
        <v>40</v>
      </c>
      <c r="S394" s="105" t="s">
        <v>40</v>
      </c>
    </row>
    <row r="395" spans="1:19" s="59" customFormat="1" ht="31.5">
      <c r="A395" s="95">
        <f>A393+1</f>
        <v>329</v>
      </c>
      <c r="B395" s="135" t="s">
        <v>487</v>
      </c>
      <c r="C395" s="121">
        <v>1993</v>
      </c>
      <c r="D395" s="120"/>
      <c r="E395" s="98" t="s">
        <v>143</v>
      </c>
      <c r="F395" s="120">
        <v>3</v>
      </c>
      <c r="G395" s="120">
        <v>3</v>
      </c>
      <c r="H395" s="109">
        <v>1687.8</v>
      </c>
      <c r="I395" s="178">
        <v>1565.1</v>
      </c>
      <c r="J395" s="109">
        <v>1565.1</v>
      </c>
      <c r="K395" s="120">
        <v>60</v>
      </c>
      <c r="L395" s="88">
        <v>1266892</v>
      </c>
      <c r="M395" s="88">
        <v>0</v>
      </c>
      <c r="N395" s="88">
        <v>0</v>
      </c>
      <c r="O395" s="88">
        <v>1266892</v>
      </c>
      <c r="P395" s="88">
        <v>0</v>
      </c>
      <c r="Q395" s="109">
        <f t="shared" ref="Q395:Q400" si="101">L395/I395</f>
        <v>809.46393201712351</v>
      </c>
      <c r="R395" s="100">
        <v>6774</v>
      </c>
      <c r="S395" s="103">
        <v>42735</v>
      </c>
    </row>
    <row r="396" spans="1:19" s="59" customFormat="1" ht="15.75">
      <c r="A396" s="95">
        <f t="shared" si="84"/>
        <v>330</v>
      </c>
      <c r="B396" s="135" t="s">
        <v>401</v>
      </c>
      <c r="C396" s="121">
        <v>1974</v>
      </c>
      <c r="D396" s="120"/>
      <c r="E396" s="98" t="s">
        <v>144</v>
      </c>
      <c r="F396" s="120">
        <v>5</v>
      </c>
      <c r="G396" s="120">
        <v>4</v>
      </c>
      <c r="H396" s="109">
        <v>3293.5</v>
      </c>
      <c r="I396" s="178">
        <v>3013.5</v>
      </c>
      <c r="J396" s="109">
        <v>2914</v>
      </c>
      <c r="K396" s="120">
        <v>123</v>
      </c>
      <c r="L396" s="88">
        <v>1489401</v>
      </c>
      <c r="M396" s="88">
        <v>0</v>
      </c>
      <c r="N396" s="88">
        <v>0</v>
      </c>
      <c r="O396" s="88">
        <v>1489401</v>
      </c>
      <c r="P396" s="88">
        <v>0</v>
      </c>
      <c r="Q396" s="109">
        <f t="shared" si="101"/>
        <v>494.24290691886512</v>
      </c>
      <c r="R396" s="100">
        <v>6774</v>
      </c>
      <c r="S396" s="103">
        <v>42735</v>
      </c>
    </row>
    <row r="397" spans="1:19" s="59" customFormat="1" ht="15.75">
      <c r="A397" s="95">
        <f t="shared" si="84"/>
        <v>331</v>
      </c>
      <c r="B397" s="135" t="s">
        <v>485</v>
      </c>
      <c r="C397" s="121">
        <v>1984</v>
      </c>
      <c r="D397" s="120"/>
      <c r="E397" s="98" t="s">
        <v>144</v>
      </c>
      <c r="F397" s="120">
        <v>3</v>
      </c>
      <c r="G397" s="120">
        <v>3</v>
      </c>
      <c r="H397" s="109">
        <v>1499.2</v>
      </c>
      <c r="I397" s="178">
        <v>1375.3</v>
      </c>
      <c r="J397" s="109">
        <v>1268.7</v>
      </c>
      <c r="K397" s="120">
        <v>66</v>
      </c>
      <c r="L397" s="88">
        <v>1198926</v>
      </c>
      <c r="M397" s="88">
        <v>0</v>
      </c>
      <c r="N397" s="88">
        <v>0</v>
      </c>
      <c r="O397" s="88">
        <v>1198926</v>
      </c>
      <c r="P397" s="88">
        <v>0</v>
      </c>
      <c r="Q397" s="109">
        <f t="shared" si="101"/>
        <v>871.75598051334259</v>
      </c>
      <c r="R397" s="100">
        <v>6774</v>
      </c>
      <c r="S397" s="103">
        <v>42735</v>
      </c>
    </row>
    <row r="398" spans="1:19" s="59" customFormat="1" ht="31.5">
      <c r="A398" s="95">
        <f t="shared" si="84"/>
        <v>332</v>
      </c>
      <c r="B398" s="135" t="s">
        <v>486</v>
      </c>
      <c r="C398" s="121">
        <v>1991</v>
      </c>
      <c r="D398" s="120"/>
      <c r="E398" s="98" t="s">
        <v>143</v>
      </c>
      <c r="F398" s="120">
        <v>2</v>
      </c>
      <c r="G398" s="120">
        <v>2</v>
      </c>
      <c r="H398" s="109">
        <v>838.5</v>
      </c>
      <c r="I398" s="178">
        <v>776.5</v>
      </c>
      <c r="J398" s="109">
        <v>733.1</v>
      </c>
      <c r="K398" s="120">
        <v>38</v>
      </c>
      <c r="L398" s="88">
        <v>1151237</v>
      </c>
      <c r="M398" s="88">
        <v>0</v>
      </c>
      <c r="N398" s="88">
        <v>0</v>
      </c>
      <c r="O398" s="88">
        <v>1151237</v>
      </c>
      <c r="P398" s="88">
        <v>0</v>
      </c>
      <c r="Q398" s="109">
        <f t="shared" si="101"/>
        <v>1482.5975531229878</v>
      </c>
      <c r="R398" s="100">
        <v>6774</v>
      </c>
      <c r="S398" s="103">
        <v>42735</v>
      </c>
    </row>
    <row r="399" spans="1:19" s="59" customFormat="1" ht="15.75">
      <c r="A399" s="95">
        <f t="shared" si="84"/>
        <v>333</v>
      </c>
      <c r="B399" s="135" t="s">
        <v>483</v>
      </c>
      <c r="C399" s="121">
        <v>1993</v>
      </c>
      <c r="D399" s="120"/>
      <c r="E399" s="98" t="s">
        <v>144</v>
      </c>
      <c r="F399" s="120">
        <v>5</v>
      </c>
      <c r="G399" s="120">
        <v>6</v>
      </c>
      <c r="H399" s="109">
        <v>4954.7</v>
      </c>
      <c r="I399" s="178">
        <v>4504.1000000000004</v>
      </c>
      <c r="J399" s="109">
        <v>4300.3999999999996</v>
      </c>
      <c r="K399" s="120">
        <v>188</v>
      </c>
      <c r="L399" s="88">
        <v>2232777</v>
      </c>
      <c r="M399" s="88">
        <v>0</v>
      </c>
      <c r="N399" s="88">
        <v>0</v>
      </c>
      <c r="O399" s="88">
        <v>2232777</v>
      </c>
      <c r="P399" s="88">
        <v>0</v>
      </c>
      <c r="Q399" s="109">
        <f t="shared" si="101"/>
        <v>495.72100974667524</v>
      </c>
      <c r="R399" s="100">
        <v>6774</v>
      </c>
      <c r="S399" s="103">
        <v>42735</v>
      </c>
    </row>
    <row r="400" spans="1:19" s="59" customFormat="1" ht="15.75">
      <c r="A400" s="95">
        <f t="shared" si="84"/>
        <v>334</v>
      </c>
      <c r="B400" s="135" t="s">
        <v>484</v>
      </c>
      <c r="C400" s="121">
        <v>1995</v>
      </c>
      <c r="D400" s="120"/>
      <c r="E400" s="98" t="s">
        <v>144</v>
      </c>
      <c r="F400" s="120">
        <v>5</v>
      </c>
      <c r="G400" s="120">
        <v>9</v>
      </c>
      <c r="H400" s="109">
        <v>7731.6</v>
      </c>
      <c r="I400" s="178">
        <v>7103.7</v>
      </c>
      <c r="J400" s="109">
        <v>6904.4</v>
      </c>
      <c r="K400" s="120">
        <v>221</v>
      </c>
      <c r="L400" s="88">
        <v>3451939</v>
      </c>
      <c r="M400" s="88">
        <v>0</v>
      </c>
      <c r="N400" s="88">
        <v>0</v>
      </c>
      <c r="O400" s="88">
        <v>3451939</v>
      </c>
      <c r="P400" s="88">
        <v>0</v>
      </c>
      <c r="Q400" s="109">
        <f t="shared" si="101"/>
        <v>485.93535763053058</v>
      </c>
      <c r="R400" s="100">
        <v>6774</v>
      </c>
      <c r="S400" s="103">
        <v>42735</v>
      </c>
    </row>
    <row r="401" spans="1:19" s="1" customFormat="1" ht="15.75">
      <c r="A401" s="95"/>
      <c r="B401" s="300" t="s">
        <v>636</v>
      </c>
      <c r="C401" s="300"/>
      <c r="D401" s="300"/>
      <c r="E401" s="300"/>
      <c r="F401" s="300"/>
      <c r="G401" s="300"/>
      <c r="H401" s="94">
        <f>H402</f>
        <v>483</v>
      </c>
      <c r="I401" s="94">
        <f t="shared" ref="I401:N401" si="102">I402</f>
        <v>482.9</v>
      </c>
      <c r="J401" s="94">
        <f t="shared" si="102"/>
        <v>160.6</v>
      </c>
      <c r="K401" s="106">
        <f t="shared" si="102"/>
        <v>30</v>
      </c>
      <c r="L401" s="88">
        <f t="shared" si="102"/>
        <v>239451.84</v>
      </c>
      <c r="M401" s="88">
        <f t="shared" si="102"/>
        <v>0</v>
      </c>
      <c r="N401" s="88">
        <f t="shared" si="102"/>
        <v>0</v>
      </c>
      <c r="O401" s="88">
        <f>O402</f>
        <v>239451.84</v>
      </c>
      <c r="P401" s="88">
        <v>0</v>
      </c>
      <c r="Q401" s="94" t="s">
        <v>40</v>
      </c>
      <c r="R401" s="100" t="s">
        <v>40</v>
      </c>
      <c r="S401" s="103" t="s">
        <v>40</v>
      </c>
    </row>
    <row r="402" spans="1:19" s="1" customFormat="1" ht="31.5">
      <c r="A402" s="95">
        <f>A400+1</f>
        <v>335</v>
      </c>
      <c r="B402" s="113" t="s">
        <v>596</v>
      </c>
      <c r="C402" s="105">
        <v>1967</v>
      </c>
      <c r="D402" s="117"/>
      <c r="E402" s="98" t="s">
        <v>143</v>
      </c>
      <c r="F402" s="105">
        <v>2</v>
      </c>
      <c r="G402" s="105">
        <v>3</v>
      </c>
      <c r="H402" s="94">
        <v>483</v>
      </c>
      <c r="I402" s="94">
        <v>482.9</v>
      </c>
      <c r="J402" s="94">
        <v>160.6</v>
      </c>
      <c r="K402" s="106">
        <v>30</v>
      </c>
      <c r="L402" s="88">
        <v>239451.84</v>
      </c>
      <c r="M402" s="88">
        <v>0</v>
      </c>
      <c r="N402" s="88">
        <v>0</v>
      </c>
      <c r="O402" s="88">
        <v>239451.84</v>
      </c>
      <c r="P402" s="88">
        <v>0</v>
      </c>
      <c r="Q402" s="94">
        <v>402.17</v>
      </c>
      <c r="R402" s="100">
        <v>6774</v>
      </c>
      <c r="S402" s="103">
        <v>42735</v>
      </c>
    </row>
    <row r="403" spans="1:19" s="1" customFormat="1" ht="15.75" customHeight="1">
      <c r="A403" s="95"/>
      <c r="B403" s="299" t="s">
        <v>637</v>
      </c>
      <c r="C403" s="299"/>
      <c r="D403" s="299"/>
      <c r="E403" s="299"/>
      <c r="F403" s="299"/>
      <c r="G403" s="299"/>
      <c r="H403" s="94">
        <f>H404</f>
        <v>533.5</v>
      </c>
      <c r="I403" s="94">
        <f t="shared" ref="I403:J403" si="103">I404</f>
        <v>525.5</v>
      </c>
      <c r="J403" s="94">
        <f t="shared" si="103"/>
        <v>294.10000000000002</v>
      </c>
      <c r="K403" s="106">
        <f>K404</f>
        <v>54</v>
      </c>
      <c r="L403" s="88">
        <f>L404</f>
        <v>657835.92000000004</v>
      </c>
      <c r="M403" s="88">
        <f t="shared" ref="M403:N403" si="104">M404</f>
        <v>0</v>
      </c>
      <c r="N403" s="88">
        <f t="shared" si="104"/>
        <v>146321.84</v>
      </c>
      <c r="O403" s="88">
        <f t="shared" ref="O403" si="105">O404</f>
        <v>511514.08</v>
      </c>
      <c r="P403" s="88">
        <f t="shared" ref="P403" si="106">P404</f>
        <v>0</v>
      </c>
      <c r="Q403" s="94" t="s">
        <v>40</v>
      </c>
      <c r="R403" s="94" t="s">
        <v>40</v>
      </c>
      <c r="S403" s="94" t="s">
        <v>40</v>
      </c>
    </row>
    <row r="404" spans="1:19" s="1" customFormat="1" ht="31.5">
      <c r="A404" s="95">
        <f>A402+1</f>
        <v>336</v>
      </c>
      <c r="B404" s="113" t="s">
        <v>489</v>
      </c>
      <c r="C404" s="91">
        <v>1967</v>
      </c>
      <c r="D404" s="117"/>
      <c r="E404" s="98" t="s">
        <v>143</v>
      </c>
      <c r="F404" s="105">
        <v>2</v>
      </c>
      <c r="G404" s="105">
        <v>2</v>
      </c>
      <c r="H404" s="94">
        <v>533.5</v>
      </c>
      <c r="I404" s="94">
        <v>525.5</v>
      </c>
      <c r="J404" s="94">
        <v>294.10000000000002</v>
      </c>
      <c r="K404" s="106">
        <v>54</v>
      </c>
      <c r="L404" s="88">
        <v>657835.92000000004</v>
      </c>
      <c r="M404" s="88">
        <v>0</v>
      </c>
      <c r="N404" s="88">
        <v>146321.84</v>
      </c>
      <c r="O404" s="88">
        <v>511514.08</v>
      </c>
      <c r="P404" s="88">
        <v>0</v>
      </c>
      <c r="Q404" s="94">
        <f>L403/I404</f>
        <v>1251.828582302569</v>
      </c>
      <c r="R404" s="100">
        <v>6774</v>
      </c>
      <c r="S404" s="103">
        <v>42674</v>
      </c>
    </row>
    <row r="405" spans="1:19" s="1" customFormat="1" ht="15.75">
      <c r="A405" s="95"/>
      <c r="B405" s="300" t="s">
        <v>638</v>
      </c>
      <c r="C405" s="300"/>
      <c r="D405" s="300"/>
      <c r="E405" s="300"/>
      <c r="F405" s="300"/>
      <c r="G405" s="300"/>
      <c r="H405" s="94">
        <f>SUM(H406:H409)</f>
        <v>3695.6000000000004</v>
      </c>
      <c r="I405" s="94">
        <f t="shared" ref="I405:P405" si="107">SUM(I406:I409)</f>
        <v>3429.8</v>
      </c>
      <c r="J405" s="94">
        <f t="shared" si="107"/>
        <v>3429.8</v>
      </c>
      <c r="K405" s="151">
        <f t="shared" si="107"/>
        <v>159</v>
      </c>
      <c r="L405" s="88">
        <f t="shared" si="107"/>
        <v>3709811</v>
      </c>
      <c r="M405" s="88">
        <f t="shared" si="107"/>
        <v>0</v>
      </c>
      <c r="N405" s="88">
        <f t="shared" si="107"/>
        <v>0</v>
      </c>
      <c r="O405" s="88">
        <f t="shared" si="107"/>
        <v>3709811</v>
      </c>
      <c r="P405" s="88">
        <f t="shared" si="107"/>
        <v>0</v>
      </c>
      <c r="Q405" s="94" t="s">
        <v>40</v>
      </c>
      <c r="R405" s="100" t="s">
        <v>40</v>
      </c>
      <c r="S405" s="105" t="s">
        <v>40</v>
      </c>
    </row>
    <row r="406" spans="1:19" s="59" customFormat="1" ht="31.5">
      <c r="A406" s="95">
        <f>A404+1</f>
        <v>337</v>
      </c>
      <c r="B406" s="135" t="s">
        <v>490</v>
      </c>
      <c r="C406" s="120">
        <v>1968</v>
      </c>
      <c r="D406" s="120"/>
      <c r="E406" s="98" t="s">
        <v>143</v>
      </c>
      <c r="F406" s="120">
        <v>3</v>
      </c>
      <c r="G406" s="120">
        <v>2</v>
      </c>
      <c r="H406" s="174">
        <v>1042.4000000000001</v>
      </c>
      <c r="I406" s="109">
        <v>969.6</v>
      </c>
      <c r="J406" s="109">
        <v>969.6</v>
      </c>
      <c r="K406" s="120">
        <v>39</v>
      </c>
      <c r="L406" s="88">
        <v>996098</v>
      </c>
      <c r="M406" s="88">
        <v>0</v>
      </c>
      <c r="N406" s="88">
        <v>0</v>
      </c>
      <c r="O406" s="88">
        <v>996098</v>
      </c>
      <c r="P406" s="88">
        <v>0</v>
      </c>
      <c r="Q406" s="109">
        <f>L406/I406</f>
        <v>1027.328795379538</v>
      </c>
      <c r="R406" s="100">
        <v>6774</v>
      </c>
      <c r="S406" s="103">
        <v>42735</v>
      </c>
    </row>
    <row r="407" spans="1:19" s="59" customFormat="1" ht="31.5">
      <c r="A407" s="95">
        <f t="shared" ref="A407:A456" si="108">A406+1</f>
        <v>338</v>
      </c>
      <c r="B407" s="135" t="s">
        <v>491</v>
      </c>
      <c r="C407" s="120">
        <v>1962</v>
      </c>
      <c r="D407" s="120"/>
      <c r="E407" s="98" t="s">
        <v>143</v>
      </c>
      <c r="F407" s="120">
        <v>3</v>
      </c>
      <c r="G407" s="120">
        <v>2</v>
      </c>
      <c r="H407" s="109">
        <v>1036.5999999999999</v>
      </c>
      <c r="I407" s="109">
        <v>964.8</v>
      </c>
      <c r="J407" s="109">
        <v>964.8</v>
      </c>
      <c r="K407" s="120">
        <v>38</v>
      </c>
      <c r="L407" s="88">
        <v>997997</v>
      </c>
      <c r="M407" s="88">
        <v>0</v>
      </c>
      <c r="N407" s="88">
        <v>0</v>
      </c>
      <c r="O407" s="88">
        <v>997997</v>
      </c>
      <c r="P407" s="88">
        <v>0</v>
      </c>
      <c r="Q407" s="109">
        <f t="shared" ref="Q407:Q409" si="109">L407/I407</f>
        <v>1034.4081674958541</v>
      </c>
      <c r="R407" s="100">
        <v>6774</v>
      </c>
      <c r="S407" s="103">
        <v>42735</v>
      </c>
    </row>
    <row r="408" spans="1:19" s="59" customFormat="1" ht="31.5">
      <c r="A408" s="95">
        <f t="shared" si="108"/>
        <v>339</v>
      </c>
      <c r="B408" s="135" t="s">
        <v>492</v>
      </c>
      <c r="C408" s="120">
        <v>1968</v>
      </c>
      <c r="D408" s="120"/>
      <c r="E408" s="98" t="s">
        <v>143</v>
      </c>
      <c r="F408" s="120">
        <v>3</v>
      </c>
      <c r="G408" s="120">
        <v>2</v>
      </c>
      <c r="H408" s="109">
        <v>1045.3</v>
      </c>
      <c r="I408" s="109">
        <v>972.7</v>
      </c>
      <c r="J408" s="109">
        <v>972.7</v>
      </c>
      <c r="K408" s="120">
        <v>53</v>
      </c>
      <c r="L408" s="88">
        <v>999625</v>
      </c>
      <c r="M408" s="88">
        <v>0</v>
      </c>
      <c r="N408" s="88">
        <v>0</v>
      </c>
      <c r="O408" s="88">
        <v>999625</v>
      </c>
      <c r="P408" s="88">
        <v>0</v>
      </c>
      <c r="Q408" s="109">
        <f t="shared" si="109"/>
        <v>1027.6806826359616</v>
      </c>
      <c r="R408" s="100">
        <v>6774</v>
      </c>
      <c r="S408" s="103">
        <v>42735</v>
      </c>
    </row>
    <row r="409" spans="1:19" s="59" customFormat="1" ht="31.5">
      <c r="A409" s="95">
        <f t="shared" si="108"/>
        <v>340</v>
      </c>
      <c r="B409" s="135" t="s">
        <v>493</v>
      </c>
      <c r="C409" s="120">
        <v>1969</v>
      </c>
      <c r="D409" s="120"/>
      <c r="E409" s="98" t="s">
        <v>143</v>
      </c>
      <c r="F409" s="120">
        <v>2</v>
      </c>
      <c r="G409" s="120">
        <v>2</v>
      </c>
      <c r="H409" s="109">
        <v>571.29999999999995</v>
      </c>
      <c r="I409" s="109">
        <v>522.70000000000005</v>
      </c>
      <c r="J409" s="109">
        <v>522.70000000000005</v>
      </c>
      <c r="K409" s="120">
        <v>29</v>
      </c>
      <c r="L409" s="88">
        <v>716091</v>
      </c>
      <c r="M409" s="88">
        <v>0</v>
      </c>
      <c r="N409" s="88">
        <v>0</v>
      </c>
      <c r="O409" s="88">
        <v>716091</v>
      </c>
      <c r="P409" s="88">
        <v>0</v>
      </c>
      <c r="Q409" s="109">
        <f t="shared" si="109"/>
        <v>1369.9846948536444</v>
      </c>
      <c r="R409" s="100">
        <v>6774</v>
      </c>
      <c r="S409" s="103">
        <v>42735</v>
      </c>
    </row>
    <row r="410" spans="1:19" s="1" customFormat="1" ht="15.75">
      <c r="A410" s="95"/>
      <c r="B410" s="300" t="s">
        <v>59</v>
      </c>
      <c r="C410" s="300"/>
      <c r="D410" s="300"/>
      <c r="E410" s="300"/>
      <c r="F410" s="300"/>
      <c r="G410" s="300"/>
      <c r="H410" s="94">
        <f>H411</f>
        <v>1983</v>
      </c>
      <c r="I410" s="94">
        <f t="shared" ref="I410:P410" si="110">I411</f>
        <v>1780.1</v>
      </c>
      <c r="J410" s="94">
        <f t="shared" si="110"/>
        <v>1780.1</v>
      </c>
      <c r="K410" s="106">
        <f t="shared" si="110"/>
        <v>80</v>
      </c>
      <c r="L410" s="88">
        <f t="shared" si="110"/>
        <v>2222747</v>
      </c>
      <c r="M410" s="88">
        <f t="shared" si="110"/>
        <v>0</v>
      </c>
      <c r="N410" s="88">
        <f t="shared" si="110"/>
        <v>0</v>
      </c>
      <c r="O410" s="88">
        <f t="shared" si="110"/>
        <v>2222747</v>
      </c>
      <c r="P410" s="88">
        <f t="shared" si="110"/>
        <v>0</v>
      </c>
      <c r="Q410" s="94" t="s">
        <v>40</v>
      </c>
      <c r="R410" s="94" t="s">
        <v>40</v>
      </c>
      <c r="S410" s="94" t="s">
        <v>40</v>
      </c>
    </row>
    <row r="411" spans="1:19" s="1" customFormat="1" ht="15.75" customHeight="1">
      <c r="A411" s="95"/>
      <c r="B411" s="299" t="s">
        <v>639</v>
      </c>
      <c r="C411" s="299"/>
      <c r="D411" s="299"/>
      <c r="E411" s="299"/>
      <c r="F411" s="299"/>
      <c r="G411" s="299"/>
      <c r="H411" s="94">
        <f>SUM(H412:H414)</f>
        <v>1983</v>
      </c>
      <c r="I411" s="94">
        <f t="shared" ref="I411:P411" si="111">SUM(I412:I414)</f>
        <v>1780.1</v>
      </c>
      <c r="J411" s="94">
        <f t="shared" si="111"/>
        <v>1780.1</v>
      </c>
      <c r="K411" s="106">
        <f t="shared" si="111"/>
        <v>80</v>
      </c>
      <c r="L411" s="88">
        <f t="shared" si="111"/>
        <v>2222747</v>
      </c>
      <c r="M411" s="88">
        <f t="shared" si="111"/>
        <v>0</v>
      </c>
      <c r="N411" s="88">
        <f t="shared" si="111"/>
        <v>0</v>
      </c>
      <c r="O411" s="88">
        <f t="shared" si="111"/>
        <v>2222747</v>
      </c>
      <c r="P411" s="88">
        <f t="shared" si="111"/>
        <v>0</v>
      </c>
      <c r="Q411" s="94" t="s">
        <v>40</v>
      </c>
      <c r="R411" s="94" t="s">
        <v>40</v>
      </c>
      <c r="S411" s="94" t="s">
        <v>40</v>
      </c>
    </row>
    <row r="412" spans="1:19" s="30" customFormat="1" ht="31.5">
      <c r="A412" s="95">
        <f>A409+1</f>
        <v>341</v>
      </c>
      <c r="B412" s="96" t="s">
        <v>495</v>
      </c>
      <c r="C412" s="95">
        <v>1972</v>
      </c>
      <c r="D412" s="169"/>
      <c r="E412" s="98" t="s">
        <v>143</v>
      </c>
      <c r="F412" s="97">
        <v>2</v>
      </c>
      <c r="G412" s="97">
        <v>2</v>
      </c>
      <c r="H412" s="100">
        <v>778.9</v>
      </c>
      <c r="I412" s="100">
        <v>719.8</v>
      </c>
      <c r="J412" s="100">
        <v>719.8</v>
      </c>
      <c r="K412" s="101">
        <v>27</v>
      </c>
      <c r="L412" s="88">
        <v>1003542</v>
      </c>
      <c r="M412" s="88">
        <v>0</v>
      </c>
      <c r="N412" s="88">
        <v>0</v>
      </c>
      <c r="O412" s="88">
        <f>L412</f>
        <v>1003542</v>
      </c>
      <c r="P412" s="88">
        <v>0</v>
      </c>
      <c r="Q412" s="100">
        <f>L412/I412</f>
        <v>1394.1956098916366</v>
      </c>
      <c r="R412" s="100">
        <v>6774</v>
      </c>
      <c r="S412" s="103">
        <v>42735</v>
      </c>
    </row>
    <row r="413" spans="1:19" s="30" customFormat="1" ht="31.5">
      <c r="A413" s="95">
        <f t="shared" si="108"/>
        <v>342</v>
      </c>
      <c r="B413" s="96" t="s">
        <v>494</v>
      </c>
      <c r="C413" s="179">
        <v>1980</v>
      </c>
      <c r="D413" s="180"/>
      <c r="E413" s="98" t="s">
        <v>143</v>
      </c>
      <c r="F413" s="97">
        <v>3</v>
      </c>
      <c r="G413" s="97">
        <v>2</v>
      </c>
      <c r="H413" s="100">
        <v>928.6</v>
      </c>
      <c r="I413" s="100">
        <v>843.2</v>
      </c>
      <c r="J413" s="100">
        <v>843.2</v>
      </c>
      <c r="K413" s="101">
        <v>39</v>
      </c>
      <c r="L413" s="88">
        <v>740146</v>
      </c>
      <c r="M413" s="88">
        <v>0</v>
      </c>
      <c r="N413" s="88">
        <v>0</v>
      </c>
      <c r="O413" s="88">
        <f>L413</f>
        <v>740146</v>
      </c>
      <c r="P413" s="88">
        <v>0</v>
      </c>
      <c r="Q413" s="100">
        <f>L413/I413</f>
        <v>877.7822580645161</v>
      </c>
      <c r="R413" s="100">
        <v>6774</v>
      </c>
      <c r="S413" s="103">
        <v>42735</v>
      </c>
    </row>
    <row r="414" spans="1:19" s="30" customFormat="1" ht="15.75">
      <c r="A414" s="95">
        <f t="shared" si="108"/>
        <v>343</v>
      </c>
      <c r="B414" s="96" t="s">
        <v>496</v>
      </c>
      <c r="C414" s="97">
        <v>1965</v>
      </c>
      <c r="D414" s="169"/>
      <c r="E414" s="98" t="s">
        <v>146</v>
      </c>
      <c r="F414" s="97">
        <v>2</v>
      </c>
      <c r="G414" s="97">
        <v>2</v>
      </c>
      <c r="H414" s="100">
        <v>275.5</v>
      </c>
      <c r="I414" s="100">
        <v>217.1</v>
      </c>
      <c r="J414" s="100">
        <v>217.1</v>
      </c>
      <c r="K414" s="101">
        <v>14</v>
      </c>
      <c r="L414" s="88">
        <v>479059</v>
      </c>
      <c r="M414" s="88">
        <v>0</v>
      </c>
      <c r="N414" s="88">
        <v>0</v>
      </c>
      <c r="O414" s="88">
        <f>L414</f>
        <v>479059</v>
      </c>
      <c r="P414" s="88">
        <v>0</v>
      </c>
      <c r="Q414" s="100">
        <f>L414/I414</f>
        <v>2206.6282818977429</v>
      </c>
      <c r="R414" s="100">
        <v>6774</v>
      </c>
      <c r="S414" s="103">
        <v>42735</v>
      </c>
    </row>
    <row r="415" spans="1:19" s="1" customFormat="1" ht="15.75">
      <c r="A415" s="95"/>
      <c r="B415" s="300" t="s">
        <v>60</v>
      </c>
      <c r="C415" s="300"/>
      <c r="D415" s="300"/>
      <c r="E415" s="300"/>
      <c r="F415" s="300"/>
      <c r="G415" s="300"/>
      <c r="H415" s="94">
        <f>H416</f>
        <v>1457.1999999999998</v>
      </c>
      <c r="I415" s="94">
        <f t="shared" ref="I415:S415" si="112">I416</f>
        <v>1286.5</v>
      </c>
      <c r="J415" s="94">
        <f t="shared" si="112"/>
        <v>1176.5</v>
      </c>
      <c r="K415" s="106">
        <f t="shared" si="112"/>
        <v>59</v>
      </c>
      <c r="L415" s="88">
        <f t="shared" si="112"/>
        <v>3629800</v>
      </c>
      <c r="M415" s="88">
        <f t="shared" si="112"/>
        <v>0</v>
      </c>
      <c r="N415" s="88">
        <f t="shared" si="112"/>
        <v>0</v>
      </c>
      <c r="O415" s="88">
        <f t="shared" si="112"/>
        <v>3629800</v>
      </c>
      <c r="P415" s="88">
        <f t="shared" si="112"/>
        <v>0</v>
      </c>
      <c r="Q415" s="94" t="str">
        <f t="shared" si="112"/>
        <v>Х</v>
      </c>
      <c r="R415" s="94" t="str">
        <f t="shared" si="112"/>
        <v>Х</v>
      </c>
      <c r="S415" s="94" t="str">
        <f t="shared" si="112"/>
        <v>Х</v>
      </c>
    </row>
    <row r="416" spans="1:19" s="1" customFormat="1" ht="15.75">
      <c r="A416" s="95"/>
      <c r="B416" s="300" t="s">
        <v>640</v>
      </c>
      <c r="C416" s="300"/>
      <c r="D416" s="300"/>
      <c r="E416" s="300"/>
      <c r="F416" s="300"/>
      <c r="G416" s="300"/>
      <c r="H416" s="94">
        <f t="shared" ref="H416:P416" si="113">SUM(H417:H419)</f>
        <v>1457.1999999999998</v>
      </c>
      <c r="I416" s="94">
        <f t="shared" si="113"/>
        <v>1286.5</v>
      </c>
      <c r="J416" s="94">
        <f t="shared" si="113"/>
        <v>1176.5</v>
      </c>
      <c r="K416" s="106">
        <f t="shared" si="113"/>
        <v>59</v>
      </c>
      <c r="L416" s="88">
        <f t="shared" si="113"/>
        <v>3629800</v>
      </c>
      <c r="M416" s="88">
        <f t="shared" si="113"/>
        <v>0</v>
      </c>
      <c r="N416" s="88">
        <f t="shared" si="113"/>
        <v>0</v>
      </c>
      <c r="O416" s="88">
        <f t="shared" si="113"/>
        <v>3629800</v>
      </c>
      <c r="P416" s="88">
        <f t="shared" si="113"/>
        <v>0</v>
      </c>
      <c r="Q416" s="94" t="s">
        <v>40</v>
      </c>
      <c r="R416" s="100" t="s">
        <v>40</v>
      </c>
      <c r="S416" s="103" t="s">
        <v>40</v>
      </c>
    </row>
    <row r="417" spans="1:19" s="1" customFormat="1" ht="15.75">
      <c r="A417" s="95">
        <f>A414+1</f>
        <v>344</v>
      </c>
      <c r="B417" s="96" t="s">
        <v>497</v>
      </c>
      <c r="C417" s="108" t="s">
        <v>99</v>
      </c>
      <c r="D417" s="97">
        <v>1985</v>
      </c>
      <c r="E417" s="98" t="s">
        <v>146</v>
      </c>
      <c r="F417" s="97">
        <v>2</v>
      </c>
      <c r="G417" s="97">
        <v>2</v>
      </c>
      <c r="H417" s="100">
        <v>560</v>
      </c>
      <c r="I417" s="100">
        <v>485.2</v>
      </c>
      <c r="J417" s="100">
        <v>427.8</v>
      </c>
      <c r="K417" s="101">
        <v>16</v>
      </c>
      <c r="L417" s="88">
        <v>1610025</v>
      </c>
      <c r="M417" s="88">
        <v>0</v>
      </c>
      <c r="N417" s="88">
        <v>0</v>
      </c>
      <c r="O417" s="88">
        <v>1610025</v>
      </c>
      <c r="P417" s="88">
        <v>0</v>
      </c>
      <c r="Q417" s="100">
        <f>L417/I417</f>
        <v>3318.2708161582855</v>
      </c>
      <c r="R417" s="100">
        <v>6774</v>
      </c>
      <c r="S417" s="103">
        <v>42735</v>
      </c>
    </row>
    <row r="418" spans="1:19" s="1" customFormat="1" ht="15.75">
      <c r="A418" s="95">
        <f t="shared" si="108"/>
        <v>345</v>
      </c>
      <c r="B418" s="96" t="s">
        <v>499</v>
      </c>
      <c r="C418" s="108" t="s">
        <v>99</v>
      </c>
      <c r="D418" s="97">
        <v>1995</v>
      </c>
      <c r="E418" s="98" t="s">
        <v>146</v>
      </c>
      <c r="F418" s="97">
        <v>2</v>
      </c>
      <c r="G418" s="97">
        <v>2</v>
      </c>
      <c r="H418" s="100">
        <v>474.6</v>
      </c>
      <c r="I418" s="100">
        <v>415.9</v>
      </c>
      <c r="J418" s="100">
        <v>363.3</v>
      </c>
      <c r="K418" s="101">
        <v>15</v>
      </c>
      <c r="L418" s="88">
        <v>898009</v>
      </c>
      <c r="M418" s="88">
        <v>0</v>
      </c>
      <c r="N418" s="88">
        <v>0</v>
      </c>
      <c r="O418" s="88">
        <f>L418</f>
        <v>898009</v>
      </c>
      <c r="P418" s="88">
        <v>0</v>
      </c>
      <c r="Q418" s="100">
        <f>L418/I418</f>
        <v>2159.1945179129598</v>
      </c>
      <c r="R418" s="100">
        <v>6774</v>
      </c>
      <c r="S418" s="103">
        <v>42735</v>
      </c>
    </row>
    <row r="419" spans="1:19" s="1" customFormat="1" ht="15.75">
      <c r="A419" s="95">
        <f>A418+1</f>
        <v>346</v>
      </c>
      <c r="B419" s="96" t="s">
        <v>498</v>
      </c>
      <c r="C419" s="108" t="s">
        <v>100</v>
      </c>
      <c r="D419" s="97">
        <v>1988</v>
      </c>
      <c r="E419" s="98" t="s">
        <v>146</v>
      </c>
      <c r="F419" s="97">
        <v>2</v>
      </c>
      <c r="G419" s="97">
        <v>1</v>
      </c>
      <c r="H419" s="100">
        <v>422.6</v>
      </c>
      <c r="I419" s="100">
        <v>385.4</v>
      </c>
      <c r="J419" s="100">
        <v>385.4</v>
      </c>
      <c r="K419" s="101">
        <v>28</v>
      </c>
      <c r="L419" s="88">
        <v>1121766</v>
      </c>
      <c r="M419" s="88">
        <v>0</v>
      </c>
      <c r="N419" s="88">
        <v>0</v>
      </c>
      <c r="O419" s="88">
        <v>1121766</v>
      </c>
      <c r="P419" s="88">
        <v>0</v>
      </c>
      <c r="Q419" s="100">
        <f>L419/I419</f>
        <v>2910.6538661131294</v>
      </c>
      <c r="R419" s="100">
        <v>6774</v>
      </c>
      <c r="S419" s="103">
        <v>42735</v>
      </c>
    </row>
    <row r="420" spans="1:19" s="1" customFormat="1" ht="15.75">
      <c r="A420" s="95"/>
      <c r="B420" s="300" t="s">
        <v>61</v>
      </c>
      <c r="C420" s="300"/>
      <c r="D420" s="300"/>
      <c r="E420" s="300"/>
      <c r="F420" s="300"/>
      <c r="G420" s="300"/>
      <c r="H420" s="94">
        <f>H432+H421+H434</f>
        <v>32305.600000000006</v>
      </c>
      <c r="I420" s="94">
        <f t="shared" ref="I420:P420" si="114">I432+I421+I434</f>
        <v>28807.200000000004</v>
      </c>
      <c r="J420" s="94">
        <f t="shared" si="114"/>
        <v>27182.7</v>
      </c>
      <c r="K420" s="106">
        <f t="shared" si="114"/>
        <v>1116</v>
      </c>
      <c r="L420" s="88">
        <f t="shared" si="114"/>
        <v>13352826.959999999</v>
      </c>
      <c r="M420" s="88">
        <f>M432+M421+M434</f>
        <v>0</v>
      </c>
      <c r="N420" s="88">
        <f>N432+N421+N434</f>
        <v>0</v>
      </c>
      <c r="O420" s="88">
        <f t="shared" si="114"/>
        <v>13352826.959999999</v>
      </c>
      <c r="P420" s="88">
        <f t="shared" si="114"/>
        <v>0</v>
      </c>
      <c r="Q420" s="94" t="str">
        <f t="shared" ref="Q420:S420" si="115">Q421</f>
        <v>Х</v>
      </c>
      <c r="R420" s="94" t="str">
        <f t="shared" si="115"/>
        <v>Х</v>
      </c>
      <c r="S420" s="94" t="str">
        <f t="shared" si="115"/>
        <v>Х</v>
      </c>
    </row>
    <row r="421" spans="1:19" s="17" customFormat="1" ht="15.75" customHeight="1">
      <c r="A421" s="95"/>
      <c r="B421" s="299" t="s">
        <v>641</v>
      </c>
      <c r="C421" s="299"/>
      <c r="D421" s="299"/>
      <c r="E421" s="299"/>
      <c r="F421" s="299"/>
      <c r="G421" s="299"/>
      <c r="H421" s="94">
        <f>SUM(H422:H431)</f>
        <v>26937.300000000003</v>
      </c>
      <c r="I421" s="94">
        <f t="shared" ref="I421:P421" si="116">SUM(I422:I431)</f>
        <v>24157.4</v>
      </c>
      <c r="J421" s="94">
        <f t="shared" si="116"/>
        <v>22998.799999999999</v>
      </c>
      <c r="K421" s="106">
        <f t="shared" si="116"/>
        <v>945</v>
      </c>
      <c r="L421" s="88">
        <f t="shared" si="116"/>
        <v>11099781.93</v>
      </c>
      <c r="M421" s="88">
        <f t="shared" si="116"/>
        <v>0</v>
      </c>
      <c r="N421" s="88">
        <f t="shared" si="116"/>
        <v>0</v>
      </c>
      <c r="O421" s="88">
        <f t="shared" si="116"/>
        <v>11099781.93</v>
      </c>
      <c r="P421" s="88">
        <f t="shared" si="116"/>
        <v>0</v>
      </c>
      <c r="Q421" s="94" t="s">
        <v>40</v>
      </c>
      <c r="R421" s="100" t="s">
        <v>40</v>
      </c>
      <c r="S421" s="103" t="s">
        <v>40</v>
      </c>
    </row>
    <row r="422" spans="1:19" s="62" customFormat="1" ht="31.5">
      <c r="A422" s="95">
        <f>A419+1</f>
        <v>347</v>
      </c>
      <c r="B422" s="181" t="s">
        <v>505</v>
      </c>
      <c r="C422" s="121">
        <v>1997</v>
      </c>
      <c r="D422" s="121"/>
      <c r="E422" s="98" t="s">
        <v>143</v>
      </c>
      <c r="F422" s="121">
        <v>5</v>
      </c>
      <c r="G422" s="121">
        <v>8</v>
      </c>
      <c r="H422" s="174">
        <v>5849.5</v>
      </c>
      <c r="I422" s="174">
        <v>5177.7</v>
      </c>
      <c r="J422" s="174">
        <v>4849.1000000000004</v>
      </c>
      <c r="K422" s="121">
        <v>209</v>
      </c>
      <c r="L422" s="88">
        <v>3046254</v>
      </c>
      <c r="M422" s="88">
        <v>0</v>
      </c>
      <c r="N422" s="88">
        <v>0</v>
      </c>
      <c r="O422" s="88">
        <f t="shared" ref="O422:O431" si="117">L422</f>
        <v>3046254</v>
      </c>
      <c r="P422" s="88">
        <v>0</v>
      </c>
      <c r="Q422" s="182">
        <v>1971.04</v>
      </c>
      <c r="R422" s="100">
        <v>6774</v>
      </c>
      <c r="S422" s="103">
        <v>42735</v>
      </c>
    </row>
    <row r="423" spans="1:19" s="62" customFormat="1" ht="31.5">
      <c r="A423" s="95">
        <f t="shared" si="108"/>
        <v>348</v>
      </c>
      <c r="B423" s="183" t="s">
        <v>500</v>
      </c>
      <c r="C423" s="121">
        <v>1962</v>
      </c>
      <c r="D423" s="121"/>
      <c r="E423" s="98" t="s">
        <v>143</v>
      </c>
      <c r="F423" s="121">
        <v>3</v>
      </c>
      <c r="G423" s="121">
        <v>2</v>
      </c>
      <c r="H423" s="174">
        <v>1028.7</v>
      </c>
      <c r="I423" s="174">
        <v>957.3</v>
      </c>
      <c r="J423" s="174">
        <v>912.4</v>
      </c>
      <c r="K423" s="121">
        <v>30</v>
      </c>
      <c r="L423" s="88">
        <v>261484</v>
      </c>
      <c r="M423" s="88">
        <v>0</v>
      </c>
      <c r="N423" s="88">
        <v>0</v>
      </c>
      <c r="O423" s="88">
        <f t="shared" si="117"/>
        <v>261484</v>
      </c>
      <c r="P423" s="88">
        <v>0</v>
      </c>
      <c r="Q423" s="182">
        <v>273.14</v>
      </c>
      <c r="R423" s="100">
        <v>6774</v>
      </c>
      <c r="S423" s="103">
        <v>42735</v>
      </c>
    </row>
    <row r="424" spans="1:19" s="62" customFormat="1" ht="31.5">
      <c r="A424" s="95">
        <f t="shared" si="108"/>
        <v>349</v>
      </c>
      <c r="B424" s="181" t="s">
        <v>506</v>
      </c>
      <c r="C424" s="121">
        <v>1961</v>
      </c>
      <c r="D424" s="121"/>
      <c r="E424" s="98" t="s">
        <v>143</v>
      </c>
      <c r="F424" s="121">
        <v>3</v>
      </c>
      <c r="G424" s="121">
        <v>2</v>
      </c>
      <c r="H424" s="174">
        <v>1050.5</v>
      </c>
      <c r="I424" s="174">
        <v>977.3</v>
      </c>
      <c r="J424" s="174">
        <v>933.9</v>
      </c>
      <c r="K424" s="121">
        <v>32</v>
      </c>
      <c r="L424" s="88">
        <v>266948</v>
      </c>
      <c r="M424" s="88">
        <v>0</v>
      </c>
      <c r="N424" s="88">
        <v>0</v>
      </c>
      <c r="O424" s="88">
        <f t="shared" si="117"/>
        <v>266948</v>
      </c>
      <c r="P424" s="88">
        <v>0</v>
      </c>
      <c r="Q424" s="182">
        <v>273.14</v>
      </c>
      <c r="R424" s="100">
        <v>6774</v>
      </c>
      <c r="S424" s="103">
        <v>42735</v>
      </c>
    </row>
    <row r="425" spans="1:19" s="62" customFormat="1" ht="31.5">
      <c r="A425" s="95">
        <f t="shared" si="108"/>
        <v>350</v>
      </c>
      <c r="B425" s="184" t="s">
        <v>501</v>
      </c>
      <c r="C425" s="121">
        <v>1961</v>
      </c>
      <c r="D425" s="121"/>
      <c r="E425" s="98" t="s">
        <v>143</v>
      </c>
      <c r="F425" s="121">
        <v>2</v>
      </c>
      <c r="G425" s="121">
        <v>2</v>
      </c>
      <c r="H425" s="174">
        <v>1019.2</v>
      </c>
      <c r="I425" s="174">
        <v>947.4</v>
      </c>
      <c r="J425" s="174">
        <v>947.4</v>
      </c>
      <c r="K425" s="121">
        <v>33</v>
      </c>
      <c r="L425" s="88">
        <v>258780</v>
      </c>
      <c r="M425" s="88">
        <v>0</v>
      </c>
      <c r="N425" s="88">
        <v>0</v>
      </c>
      <c r="O425" s="88">
        <f t="shared" si="117"/>
        <v>258780</v>
      </c>
      <c r="P425" s="88">
        <v>0</v>
      </c>
      <c r="Q425" s="182">
        <v>273.14</v>
      </c>
      <c r="R425" s="100">
        <v>6774</v>
      </c>
      <c r="S425" s="103">
        <v>42735</v>
      </c>
    </row>
    <row r="426" spans="1:19" s="62" customFormat="1" ht="31.5">
      <c r="A426" s="95">
        <f t="shared" si="108"/>
        <v>351</v>
      </c>
      <c r="B426" s="181" t="s">
        <v>502</v>
      </c>
      <c r="C426" s="121">
        <v>1963</v>
      </c>
      <c r="D426" s="121"/>
      <c r="E426" s="98" t="s">
        <v>143</v>
      </c>
      <c r="F426" s="121">
        <v>2</v>
      </c>
      <c r="G426" s="121">
        <v>2</v>
      </c>
      <c r="H426" s="174">
        <v>1039</v>
      </c>
      <c r="I426" s="174">
        <v>967</v>
      </c>
      <c r="J426" s="174">
        <v>748.4</v>
      </c>
      <c r="K426" s="121">
        <v>37</v>
      </c>
      <c r="L426" s="88">
        <v>246974.27</v>
      </c>
      <c r="M426" s="88">
        <v>0</v>
      </c>
      <c r="N426" s="88">
        <v>0</v>
      </c>
      <c r="O426" s="88">
        <f t="shared" si="117"/>
        <v>246974.27</v>
      </c>
      <c r="P426" s="88">
        <v>0</v>
      </c>
      <c r="Q426" s="182">
        <v>255.4</v>
      </c>
      <c r="R426" s="100">
        <v>6774</v>
      </c>
      <c r="S426" s="103">
        <v>42735</v>
      </c>
    </row>
    <row r="427" spans="1:19" s="62" customFormat="1" ht="31.5">
      <c r="A427" s="95">
        <f t="shared" si="108"/>
        <v>352</v>
      </c>
      <c r="B427" s="184" t="s">
        <v>507</v>
      </c>
      <c r="C427" s="121">
        <v>1960</v>
      </c>
      <c r="D427" s="121"/>
      <c r="E427" s="98" t="s">
        <v>143</v>
      </c>
      <c r="F427" s="121">
        <v>2</v>
      </c>
      <c r="G427" s="121">
        <v>2</v>
      </c>
      <c r="H427" s="174">
        <v>694.1</v>
      </c>
      <c r="I427" s="174">
        <v>645.20000000000005</v>
      </c>
      <c r="J427" s="174">
        <v>645.20000000000005</v>
      </c>
      <c r="K427" s="121">
        <v>21</v>
      </c>
      <c r="L427" s="88">
        <v>176234</v>
      </c>
      <c r="M427" s="88">
        <v>0</v>
      </c>
      <c r="N427" s="88">
        <v>0</v>
      </c>
      <c r="O427" s="88">
        <f t="shared" si="117"/>
        <v>176234</v>
      </c>
      <c r="P427" s="88">
        <v>0</v>
      </c>
      <c r="Q427" s="182">
        <v>273.14</v>
      </c>
      <c r="R427" s="100">
        <v>6774</v>
      </c>
      <c r="S427" s="103">
        <v>42735</v>
      </c>
    </row>
    <row r="428" spans="1:19" s="62" customFormat="1" ht="15.75">
      <c r="A428" s="95">
        <f t="shared" si="108"/>
        <v>353</v>
      </c>
      <c r="B428" s="184" t="s">
        <v>503</v>
      </c>
      <c r="C428" s="121">
        <v>1962</v>
      </c>
      <c r="D428" s="121"/>
      <c r="E428" s="98" t="s">
        <v>145</v>
      </c>
      <c r="F428" s="121">
        <v>4</v>
      </c>
      <c r="G428" s="121">
        <v>2</v>
      </c>
      <c r="H428" s="174">
        <v>1706.4</v>
      </c>
      <c r="I428" s="174">
        <v>1263</v>
      </c>
      <c r="J428" s="174">
        <v>1207.3</v>
      </c>
      <c r="K428" s="121">
        <v>48</v>
      </c>
      <c r="L428" s="88">
        <v>1570553.76</v>
      </c>
      <c r="M428" s="88">
        <v>0</v>
      </c>
      <c r="N428" s="88">
        <v>0</v>
      </c>
      <c r="O428" s="88">
        <f t="shared" si="117"/>
        <v>1570553.76</v>
      </c>
      <c r="P428" s="88">
        <v>0</v>
      </c>
      <c r="Q428" s="182">
        <v>1243.51</v>
      </c>
      <c r="R428" s="100">
        <v>6774</v>
      </c>
      <c r="S428" s="103">
        <v>42735</v>
      </c>
    </row>
    <row r="429" spans="1:19" s="62" customFormat="1" ht="15.75">
      <c r="A429" s="95">
        <f t="shared" si="108"/>
        <v>354</v>
      </c>
      <c r="B429" s="184" t="s">
        <v>504</v>
      </c>
      <c r="C429" s="121">
        <v>1976</v>
      </c>
      <c r="D429" s="121"/>
      <c r="E429" s="98" t="s">
        <v>144</v>
      </c>
      <c r="F429" s="121">
        <v>5</v>
      </c>
      <c r="G429" s="121">
        <v>6</v>
      </c>
      <c r="H429" s="174">
        <v>4941.5</v>
      </c>
      <c r="I429" s="174">
        <v>4504.6000000000004</v>
      </c>
      <c r="J429" s="174">
        <v>4238.8</v>
      </c>
      <c r="K429" s="121">
        <v>177</v>
      </c>
      <c r="L429" s="88">
        <v>2973404.9</v>
      </c>
      <c r="M429" s="88">
        <v>0</v>
      </c>
      <c r="N429" s="88">
        <v>0</v>
      </c>
      <c r="O429" s="88">
        <f t="shared" si="117"/>
        <v>2973404.9</v>
      </c>
      <c r="P429" s="88">
        <v>0</v>
      </c>
      <c r="Q429" s="182">
        <v>660.08</v>
      </c>
      <c r="R429" s="100">
        <v>6774</v>
      </c>
      <c r="S429" s="103">
        <v>42735</v>
      </c>
    </row>
    <row r="430" spans="1:19" s="62" customFormat="1" ht="31.5">
      <c r="A430" s="95">
        <f t="shared" si="108"/>
        <v>355</v>
      </c>
      <c r="B430" s="181" t="s">
        <v>508</v>
      </c>
      <c r="C430" s="121">
        <v>1972</v>
      </c>
      <c r="D430" s="121"/>
      <c r="E430" s="98" t="s">
        <v>143</v>
      </c>
      <c r="F430" s="121">
        <v>5</v>
      </c>
      <c r="G430" s="121">
        <v>4</v>
      </c>
      <c r="H430" s="174">
        <v>2886.3</v>
      </c>
      <c r="I430" s="174">
        <v>2612.6</v>
      </c>
      <c r="J430" s="174">
        <v>2612.6</v>
      </c>
      <c r="K430" s="121">
        <v>123</v>
      </c>
      <c r="L430" s="88">
        <v>709197</v>
      </c>
      <c r="M430" s="88">
        <v>0</v>
      </c>
      <c r="N430" s="88">
        <v>0</v>
      </c>
      <c r="O430" s="88">
        <f t="shared" si="117"/>
        <v>709197</v>
      </c>
      <c r="P430" s="88">
        <v>0</v>
      </c>
      <c r="Q430" s="182">
        <v>273.14</v>
      </c>
      <c r="R430" s="100">
        <v>6774</v>
      </c>
      <c r="S430" s="103">
        <v>42735</v>
      </c>
    </row>
    <row r="431" spans="1:19" s="62" customFormat="1" ht="15.75">
      <c r="A431" s="95">
        <f t="shared" si="108"/>
        <v>356</v>
      </c>
      <c r="B431" s="181" t="s">
        <v>509</v>
      </c>
      <c r="C431" s="121">
        <v>1977</v>
      </c>
      <c r="D431" s="121"/>
      <c r="E431" s="98" t="s">
        <v>144</v>
      </c>
      <c r="F431" s="121">
        <v>5</v>
      </c>
      <c r="G431" s="121">
        <v>8</v>
      </c>
      <c r="H431" s="174">
        <v>6722.1</v>
      </c>
      <c r="I431" s="174">
        <v>6105.3</v>
      </c>
      <c r="J431" s="174">
        <v>5903.7</v>
      </c>
      <c r="K431" s="121">
        <v>235</v>
      </c>
      <c r="L431" s="88">
        <v>1589952</v>
      </c>
      <c r="M431" s="88">
        <v>0</v>
      </c>
      <c r="N431" s="88">
        <v>0</v>
      </c>
      <c r="O431" s="88">
        <f t="shared" si="117"/>
        <v>1589952</v>
      </c>
      <c r="P431" s="88">
        <v>0</v>
      </c>
      <c r="Q431" s="182">
        <v>273.14</v>
      </c>
      <c r="R431" s="100">
        <v>6774</v>
      </c>
      <c r="S431" s="103">
        <v>42735</v>
      </c>
    </row>
    <row r="432" spans="1:19" s="1" customFormat="1" ht="15.75" customHeight="1">
      <c r="A432" s="95"/>
      <c r="B432" s="299" t="s">
        <v>642</v>
      </c>
      <c r="C432" s="299"/>
      <c r="D432" s="299"/>
      <c r="E432" s="299"/>
      <c r="F432" s="299"/>
      <c r="G432" s="299"/>
      <c r="H432" s="94">
        <f>H433</f>
        <v>3972.9</v>
      </c>
      <c r="I432" s="94">
        <f t="shared" ref="I432:P432" si="118">I433</f>
        <v>3254.4</v>
      </c>
      <c r="J432" s="94">
        <f t="shared" si="118"/>
        <v>2856.4</v>
      </c>
      <c r="K432" s="106">
        <f t="shared" si="118"/>
        <v>89</v>
      </c>
      <c r="L432" s="88">
        <f t="shared" si="118"/>
        <v>2014469</v>
      </c>
      <c r="M432" s="88">
        <f t="shared" si="118"/>
        <v>0</v>
      </c>
      <c r="N432" s="88">
        <f t="shared" si="118"/>
        <v>0</v>
      </c>
      <c r="O432" s="88">
        <f t="shared" si="118"/>
        <v>2014469</v>
      </c>
      <c r="P432" s="88">
        <f t="shared" si="118"/>
        <v>0</v>
      </c>
      <c r="Q432" s="94" t="s">
        <v>40</v>
      </c>
      <c r="R432" s="94" t="s">
        <v>40</v>
      </c>
      <c r="S432" s="94" t="s">
        <v>40</v>
      </c>
    </row>
    <row r="433" spans="1:19" s="1" customFormat="1" ht="31.5">
      <c r="A433" s="95">
        <f>A431+1</f>
        <v>357</v>
      </c>
      <c r="B433" s="113" t="s">
        <v>510</v>
      </c>
      <c r="C433" s="91">
        <v>1972</v>
      </c>
      <c r="D433" s="105"/>
      <c r="E433" s="98" t="s">
        <v>143</v>
      </c>
      <c r="F433" s="105">
        <v>5</v>
      </c>
      <c r="G433" s="105">
        <v>4</v>
      </c>
      <c r="H433" s="94">
        <v>3972.9</v>
      </c>
      <c r="I433" s="94">
        <v>3254.4</v>
      </c>
      <c r="J433" s="94">
        <v>2856.4</v>
      </c>
      <c r="K433" s="106">
        <v>89</v>
      </c>
      <c r="L433" s="88">
        <v>2014469</v>
      </c>
      <c r="M433" s="88">
        <v>0</v>
      </c>
      <c r="N433" s="88">
        <v>0</v>
      </c>
      <c r="O433" s="88">
        <f>L433</f>
        <v>2014469</v>
      </c>
      <c r="P433" s="88">
        <v>0</v>
      </c>
      <c r="Q433" s="94">
        <f>L433/I433</f>
        <v>618.99858652900684</v>
      </c>
      <c r="R433" s="100">
        <v>6774</v>
      </c>
      <c r="S433" s="103">
        <v>42735</v>
      </c>
    </row>
    <row r="434" spans="1:19" s="1" customFormat="1" ht="15.75" customHeight="1">
      <c r="A434" s="95"/>
      <c r="B434" s="299" t="s">
        <v>643</v>
      </c>
      <c r="C434" s="299"/>
      <c r="D434" s="299"/>
      <c r="E434" s="299"/>
      <c r="F434" s="299"/>
      <c r="G434" s="299"/>
      <c r="H434" s="94">
        <f>H435</f>
        <v>1395.4</v>
      </c>
      <c r="I434" s="94">
        <f t="shared" ref="I434:P434" si="119">I435</f>
        <v>1395.4</v>
      </c>
      <c r="J434" s="94">
        <f t="shared" si="119"/>
        <v>1327.5</v>
      </c>
      <c r="K434" s="106">
        <f t="shared" si="119"/>
        <v>82</v>
      </c>
      <c r="L434" s="88">
        <f t="shared" si="119"/>
        <v>238576.03</v>
      </c>
      <c r="M434" s="88">
        <f t="shared" si="119"/>
        <v>0</v>
      </c>
      <c r="N434" s="88">
        <f t="shared" si="119"/>
        <v>0</v>
      </c>
      <c r="O434" s="88">
        <f t="shared" si="119"/>
        <v>238576.03</v>
      </c>
      <c r="P434" s="88">
        <f t="shared" si="119"/>
        <v>0</v>
      </c>
      <c r="Q434" s="94" t="s">
        <v>40</v>
      </c>
      <c r="R434" s="94" t="s">
        <v>40</v>
      </c>
      <c r="S434" s="94" t="s">
        <v>40</v>
      </c>
    </row>
    <row r="435" spans="1:19" s="1" customFormat="1" ht="15.75">
      <c r="A435" s="95">
        <f>A433+1</f>
        <v>358</v>
      </c>
      <c r="B435" s="113" t="s">
        <v>565</v>
      </c>
      <c r="C435" s="91">
        <v>1982</v>
      </c>
      <c r="D435" s="105"/>
      <c r="E435" s="98" t="s">
        <v>144</v>
      </c>
      <c r="F435" s="105">
        <v>3</v>
      </c>
      <c r="G435" s="105">
        <v>3</v>
      </c>
      <c r="H435" s="94">
        <v>1395.4</v>
      </c>
      <c r="I435" s="94">
        <f>H435</f>
        <v>1395.4</v>
      </c>
      <c r="J435" s="94">
        <v>1327.5</v>
      </c>
      <c r="K435" s="106">
        <v>82</v>
      </c>
      <c r="L435" s="88">
        <v>238576.03</v>
      </c>
      <c r="M435" s="88">
        <v>0</v>
      </c>
      <c r="N435" s="88">
        <v>0</v>
      </c>
      <c r="O435" s="88">
        <f>L435</f>
        <v>238576.03</v>
      </c>
      <c r="P435" s="88">
        <v>0</v>
      </c>
      <c r="Q435" s="94">
        <f>L435/I435</f>
        <v>170.97321914863122</v>
      </c>
      <c r="R435" s="100">
        <v>6774</v>
      </c>
      <c r="S435" s="103">
        <v>42735</v>
      </c>
    </row>
    <row r="436" spans="1:19" s="1" customFormat="1" ht="15.75">
      <c r="A436" s="95"/>
      <c r="B436" s="300" t="s">
        <v>62</v>
      </c>
      <c r="C436" s="300"/>
      <c r="D436" s="300"/>
      <c r="E436" s="300"/>
      <c r="F436" s="300"/>
      <c r="G436" s="300"/>
      <c r="H436" s="94">
        <f>H437</f>
        <v>5033.3999999999996</v>
      </c>
      <c r="I436" s="94">
        <f t="shared" ref="I436:P436" si="120">I437</f>
        <v>4525.1000000000004</v>
      </c>
      <c r="J436" s="94">
        <f t="shared" si="120"/>
        <v>4434.5</v>
      </c>
      <c r="K436" s="106">
        <f t="shared" si="120"/>
        <v>159</v>
      </c>
      <c r="L436" s="88">
        <f t="shared" si="120"/>
        <v>2349784.02</v>
      </c>
      <c r="M436" s="88">
        <f t="shared" si="120"/>
        <v>0</v>
      </c>
      <c r="N436" s="88">
        <f t="shared" si="120"/>
        <v>0</v>
      </c>
      <c r="O436" s="88">
        <f t="shared" si="120"/>
        <v>2349784.02</v>
      </c>
      <c r="P436" s="88">
        <f t="shared" si="120"/>
        <v>0</v>
      </c>
      <c r="Q436" s="94" t="s">
        <v>40</v>
      </c>
      <c r="R436" s="100" t="s">
        <v>40</v>
      </c>
      <c r="S436" s="103" t="s">
        <v>40</v>
      </c>
    </row>
    <row r="437" spans="1:19" s="1" customFormat="1" ht="15.75" customHeight="1">
      <c r="A437" s="95"/>
      <c r="B437" s="299" t="s">
        <v>644</v>
      </c>
      <c r="C437" s="299"/>
      <c r="D437" s="299"/>
      <c r="E437" s="299"/>
      <c r="F437" s="299"/>
      <c r="G437" s="299"/>
      <c r="H437" s="94">
        <f t="shared" ref="H437:P437" si="121">H438+H439</f>
        <v>5033.3999999999996</v>
      </c>
      <c r="I437" s="94">
        <f t="shared" si="121"/>
        <v>4525.1000000000004</v>
      </c>
      <c r="J437" s="94">
        <f t="shared" si="121"/>
        <v>4434.5</v>
      </c>
      <c r="K437" s="106">
        <f t="shared" si="121"/>
        <v>159</v>
      </c>
      <c r="L437" s="88">
        <f t="shared" si="121"/>
        <v>2349784.02</v>
      </c>
      <c r="M437" s="88">
        <f t="shared" si="121"/>
        <v>0</v>
      </c>
      <c r="N437" s="88">
        <f t="shared" si="121"/>
        <v>0</v>
      </c>
      <c r="O437" s="88">
        <f t="shared" si="121"/>
        <v>2349784.02</v>
      </c>
      <c r="P437" s="88">
        <f t="shared" si="121"/>
        <v>0</v>
      </c>
      <c r="Q437" s="94" t="s">
        <v>40</v>
      </c>
      <c r="R437" s="94" t="s">
        <v>40</v>
      </c>
      <c r="S437" s="94" t="s">
        <v>40</v>
      </c>
    </row>
    <row r="438" spans="1:19" s="1" customFormat="1" ht="15.75">
      <c r="A438" s="95">
        <f>A435+1</f>
        <v>359</v>
      </c>
      <c r="B438" s="113" t="s">
        <v>668</v>
      </c>
      <c r="C438" s="91">
        <v>1990</v>
      </c>
      <c r="D438" s="105"/>
      <c r="E438" s="98" t="s">
        <v>144</v>
      </c>
      <c r="F438" s="105">
        <v>5</v>
      </c>
      <c r="G438" s="105">
        <v>4</v>
      </c>
      <c r="H438" s="94">
        <v>3631.7</v>
      </c>
      <c r="I438" s="94">
        <v>3245.3</v>
      </c>
      <c r="J438" s="94">
        <v>3204</v>
      </c>
      <c r="K438" s="106">
        <v>112</v>
      </c>
      <c r="L438" s="88">
        <v>1088403.02</v>
      </c>
      <c r="M438" s="88">
        <v>0</v>
      </c>
      <c r="N438" s="88">
        <v>0</v>
      </c>
      <c r="O438" s="88">
        <f>L438</f>
        <v>1088403.02</v>
      </c>
      <c r="P438" s="88">
        <v>0</v>
      </c>
      <c r="Q438" s="94">
        <f>L438/I438</f>
        <v>335.3782454626691</v>
      </c>
      <c r="R438" s="100">
        <v>6774</v>
      </c>
      <c r="S438" s="103">
        <v>42735</v>
      </c>
    </row>
    <row r="439" spans="1:19" s="22" customFormat="1" ht="15.75">
      <c r="A439" s="95">
        <f t="shared" si="108"/>
        <v>360</v>
      </c>
      <c r="B439" s="142" t="s">
        <v>669</v>
      </c>
      <c r="C439" s="91">
        <v>1987</v>
      </c>
      <c r="D439" s="105"/>
      <c r="E439" s="98" t="s">
        <v>144</v>
      </c>
      <c r="F439" s="105">
        <v>3</v>
      </c>
      <c r="G439" s="105">
        <v>3</v>
      </c>
      <c r="H439" s="94">
        <v>1401.7</v>
      </c>
      <c r="I439" s="94">
        <v>1279.8</v>
      </c>
      <c r="J439" s="94">
        <v>1230.5</v>
      </c>
      <c r="K439" s="106">
        <v>47</v>
      </c>
      <c r="L439" s="88">
        <v>1261381</v>
      </c>
      <c r="M439" s="88">
        <v>0</v>
      </c>
      <c r="N439" s="88">
        <v>0</v>
      </c>
      <c r="O439" s="88">
        <f>L439</f>
        <v>1261381</v>
      </c>
      <c r="P439" s="88">
        <v>0</v>
      </c>
      <c r="Q439" s="94">
        <f>L439/I439</f>
        <v>985.60790748554462</v>
      </c>
      <c r="R439" s="100">
        <v>6774</v>
      </c>
      <c r="S439" s="103">
        <v>42735</v>
      </c>
    </row>
    <row r="440" spans="1:19" s="1" customFormat="1" ht="15.75">
      <c r="A440" s="95"/>
      <c r="B440" s="300" t="s">
        <v>63</v>
      </c>
      <c r="C440" s="300"/>
      <c r="D440" s="300"/>
      <c r="E440" s="300"/>
      <c r="F440" s="300"/>
      <c r="G440" s="300"/>
      <c r="H440" s="94">
        <f>H441</f>
        <v>15250.300000000001</v>
      </c>
      <c r="I440" s="94">
        <f t="shared" ref="I440:P440" si="122">I441</f>
        <v>13418.4</v>
      </c>
      <c r="J440" s="94">
        <f t="shared" si="122"/>
        <v>12151.1</v>
      </c>
      <c r="K440" s="106">
        <f t="shared" si="122"/>
        <v>490</v>
      </c>
      <c r="L440" s="88">
        <f t="shared" si="122"/>
        <v>12013200</v>
      </c>
      <c r="M440" s="88">
        <f t="shared" si="122"/>
        <v>0</v>
      </c>
      <c r="N440" s="88">
        <f t="shared" si="122"/>
        <v>0</v>
      </c>
      <c r="O440" s="88">
        <f t="shared" si="122"/>
        <v>12013200</v>
      </c>
      <c r="P440" s="88">
        <f t="shared" si="122"/>
        <v>0</v>
      </c>
      <c r="Q440" s="94" t="s">
        <v>40</v>
      </c>
      <c r="R440" s="94" t="s">
        <v>40</v>
      </c>
      <c r="S440" s="94" t="s">
        <v>40</v>
      </c>
    </row>
    <row r="441" spans="1:19" s="1" customFormat="1" ht="15.75" customHeight="1">
      <c r="A441" s="95"/>
      <c r="B441" s="299" t="s">
        <v>645</v>
      </c>
      <c r="C441" s="299"/>
      <c r="D441" s="299"/>
      <c r="E441" s="299"/>
      <c r="F441" s="299"/>
      <c r="G441" s="299"/>
      <c r="H441" s="94">
        <f>SUM(H442:H450)</f>
        <v>15250.300000000001</v>
      </c>
      <c r="I441" s="94">
        <f t="shared" ref="I441:N441" si="123">SUM(I442:I450)</f>
        <v>13418.4</v>
      </c>
      <c r="J441" s="94">
        <f t="shared" si="123"/>
        <v>12151.1</v>
      </c>
      <c r="K441" s="106">
        <f t="shared" si="123"/>
        <v>490</v>
      </c>
      <c r="L441" s="88">
        <f t="shared" si="123"/>
        <v>12013200</v>
      </c>
      <c r="M441" s="88">
        <f t="shared" si="123"/>
        <v>0</v>
      </c>
      <c r="N441" s="88">
        <f t="shared" si="123"/>
        <v>0</v>
      </c>
      <c r="O441" s="88">
        <f>SUM(O442:O450)</f>
        <v>12013200</v>
      </c>
      <c r="P441" s="88">
        <v>0</v>
      </c>
      <c r="Q441" s="94" t="s">
        <v>40</v>
      </c>
      <c r="R441" s="94" t="s">
        <v>40</v>
      </c>
      <c r="S441" s="94" t="s">
        <v>40</v>
      </c>
    </row>
    <row r="442" spans="1:19" s="26" customFormat="1" ht="31.5">
      <c r="A442" s="95">
        <f>A439+1</f>
        <v>361</v>
      </c>
      <c r="B442" s="142" t="s">
        <v>511</v>
      </c>
      <c r="C442" s="185">
        <v>1962</v>
      </c>
      <c r="D442" s="85"/>
      <c r="E442" s="98" t="s">
        <v>143</v>
      </c>
      <c r="F442" s="85">
        <v>5</v>
      </c>
      <c r="G442" s="85">
        <v>4</v>
      </c>
      <c r="H442" s="86">
        <v>3382</v>
      </c>
      <c r="I442" s="102">
        <v>3164.5</v>
      </c>
      <c r="J442" s="102">
        <v>2546.4</v>
      </c>
      <c r="K442" s="141">
        <v>88</v>
      </c>
      <c r="L442" s="88">
        <f t="shared" ref="L442:L450" si="124">O442</f>
        <v>2239107</v>
      </c>
      <c r="M442" s="88">
        <v>0</v>
      </c>
      <c r="N442" s="88">
        <v>0</v>
      </c>
      <c r="O442" s="88">
        <v>2239107</v>
      </c>
      <c r="P442" s="88">
        <v>0</v>
      </c>
      <c r="Q442" s="86">
        <f t="shared" ref="Q442:Q450" si="125">L442/I442</f>
        <v>707.57054826986882</v>
      </c>
      <c r="R442" s="100">
        <v>6774</v>
      </c>
      <c r="S442" s="103">
        <v>42735</v>
      </c>
    </row>
    <row r="443" spans="1:19" s="26" customFormat="1" ht="15.75">
      <c r="A443" s="95">
        <f t="shared" si="108"/>
        <v>362</v>
      </c>
      <c r="B443" s="142" t="s">
        <v>111</v>
      </c>
      <c r="C443" s="85">
        <v>1949</v>
      </c>
      <c r="D443" s="85"/>
      <c r="E443" s="98" t="s">
        <v>148</v>
      </c>
      <c r="F443" s="85">
        <v>2</v>
      </c>
      <c r="G443" s="85">
        <v>2</v>
      </c>
      <c r="H443" s="86">
        <v>448.3</v>
      </c>
      <c r="I443" s="86">
        <v>402.5</v>
      </c>
      <c r="J443" s="86">
        <v>346.7</v>
      </c>
      <c r="K443" s="87">
        <v>16</v>
      </c>
      <c r="L443" s="88">
        <f t="shared" si="124"/>
        <v>706234</v>
      </c>
      <c r="M443" s="88">
        <v>0</v>
      </c>
      <c r="N443" s="88">
        <v>0</v>
      </c>
      <c r="O443" s="88">
        <v>706234</v>
      </c>
      <c r="P443" s="88">
        <v>0</v>
      </c>
      <c r="Q443" s="86">
        <f t="shared" si="125"/>
        <v>1754.6186335403727</v>
      </c>
      <c r="R443" s="100">
        <v>6774</v>
      </c>
      <c r="S443" s="103">
        <v>42735</v>
      </c>
    </row>
    <row r="444" spans="1:19" s="26" customFormat="1" ht="15.75">
      <c r="A444" s="95">
        <f t="shared" si="108"/>
        <v>363</v>
      </c>
      <c r="B444" s="142" t="s">
        <v>110</v>
      </c>
      <c r="C444" s="85">
        <v>1949</v>
      </c>
      <c r="D444" s="85"/>
      <c r="E444" s="98" t="s">
        <v>146</v>
      </c>
      <c r="F444" s="85">
        <v>2</v>
      </c>
      <c r="G444" s="85">
        <v>2</v>
      </c>
      <c r="H444" s="86">
        <v>438.3</v>
      </c>
      <c r="I444" s="86">
        <v>393.5</v>
      </c>
      <c r="J444" s="86">
        <f>I444-49.9</f>
        <v>343.6</v>
      </c>
      <c r="K444" s="87">
        <v>16</v>
      </c>
      <c r="L444" s="88">
        <f t="shared" si="124"/>
        <v>651603</v>
      </c>
      <c r="M444" s="88">
        <v>0</v>
      </c>
      <c r="N444" s="88">
        <v>0</v>
      </c>
      <c r="O444" s="88">
        <v>651603</v>
      </c>
      <c r="P444" s="88">
        <v>0</v>
      </c>
      <c r="Q444" s="86">
        <f t="shared" si="125"/>
        <v>1655.9161372299873</v>
      </c>
      <c r="R444" s="100">
        <v>6774</v>
      </c>
      <c r="S444" s="103">
        <v>42735</v>
      </c>
    </row>
    <row r="445" spans="1:19" s="26" customFormat="1" ht="31.5">
      <c r="A445" s="95">
        <f t="shared" si="108"/>
        <v>364</v>
      </c>
      <c r="B445" s="142" t="s">
        <v>512</v>
      </c>
      <c r="C445" s="185">
        <v>1990</v>
      </c>
      <c r="D445" s="85"/>
      <c r="E445" s="98" t="s">
        <v>143</v>
      </c>
      <c r="F445" s="85">
        <v>3</v>
      </c>
      <c r="G445" s="85">
        <v>1</v>
      </c>
      <c r="H445" s="86">
        <v>700.1</v>
      </c>
      <c r="I445" s="102">
        <v>650.70000000000005</v>
      </c>
      <c r="J445" s="102">
        <v>650.70000000000005</v>
      </c>
      <c r="K445" s="141">
        <v>18</v>
      </c>
      <c r="L445" s="88">
        <f t="shared" si="124"/>
        <v>698701</v>
      </c>
      <c r="M445" s="88">
        <v>0</v>
      </c>
      <c r="N445" s="88">
        <v>0</v>
      </c>
      <c r="O445" s="88">
        <v>698701</v>
      </c>
      <c r="P445" s="88">
        <v>0</v>
      </c>
      <c r="Q445" s="86">
        <f t="shared" si="125"/>
        <v>1073.7682495773781</v>
      </c>
      <c r="R445" s="100">
        <v>6774</v>
      </c>
      <c r="S445" s="103">
        <v>42735</v>
      </c>
    </row>
    <row r="446" spans="1:19" s="26" customFormat="1" ht="31.5">
      <c r="A446" s="95">
        <f t="shared" si="108"/>
        <v>365</v>
      </c>
      <c r="B446" s="142" t="s">
        <v>112</v>
      </c>
      <c r="C446" s="185">
        <v>1982</v>
      </c>
      <c r="D446" s="85"/>
      <c r="E446" s="98" t="s">
        <v>143</v>
      </c>
      <c r="F446" s="85">
        <v>5</v>
      </c>
      <c r="G446" s="85">
        <v>4</v>
      </c>
      <c r="H446" s="102">
        <v>3159.2</v>
      </c>
      <c r="I446" s="102">
        <v>2600.8000000000002</v>
      </c>
      <c r="J446" s="102">
        <v>2455.5</v>
      </c>
      <c r="K446" s="141">
        <v>106</v>
      </c>
      <c r="L446" s="88">
        <f t="shared" si="124"/>
        <v>1512903</v>
      </c>
      <c r="M446" s="88">
        <v>0</v>
      </c>
      <c r="N446" s="88">
        <v>0</v>
      </c>
      <c r="O446" s="88">
        <v>1512903</v>
      </c>
      <c r="P446" s="88">
        <v>0</v>
      </c>
      <c r="Q446" s="86">
        <f t="shared" si="125"/>
        <v>581.70678252845278</v>
      </c>
      <c r="R446" s="100">
        <v>6774</v>
      </c>
      <c r="S446" s="103">
        <v>42735</v>
      </c>
    </row>
    <row r="447" spans="1:19" s="26" customFormat="1" ht="15.75">
      <c r="A447" s="95">
        <f t="shared" si="108"/>
        <v>366</v>
      </c>
      <c r="B447" s="142" t="s">
        <v>116</v>
      </c>
      <c r="C447" s="185">
        <v>1953</v>
      </c>
      <c r="D447" s="85"/>
      <c r="E447" s="98" t="s">
        <v>145</v>
      </c>
      <c r="F447" s="85">
        <v>2</v>
      </c>
      <c r="G447" s="85">
        <v>2</v>
      </c>
      <c r="H447" s="102">
        <v>664.5</v>
      </c>
      <c r="I447" s="102">
        <v>609.4</v>
      </c>
      <c r="J447" s="102">
        <f>450.2-48.3</f>
        <v>401.9</v>
      </c>
      <c r="K447" s="141">
        <v>15</v>
      </c>
      <c r="L447" s="88">
        <f t="shared" si="124"/>
        <v>1668544</v>
      </c>
      <c r="M447" s="88">
        <v>0</v>
      </c>
      <c r="N447" s="88">
        <v>0</v>
      </c>
      <c r="O447" s="88">
        <v>1668544</v>
      </c>
      <c r="P447" s="88">
        <v>0</v>
      </c>
      <c r="Q447" s="86">
        <f t="shared" si="125"/>
        <v>2738.0111585165737</v>
      </c>
      <c r="R447" s="100">
        <v>6774</v>
      </c>
      <c r="S447" s="103">
        <v>42735</v>
      </c>
    </row>
    <row r="448" spans="1:19" s="26" customFormat="1" ht="31.5">
      <c r="A448" s="95">
        <f t="shared" si="108"/>
        <v>367</v>
      </c>
      <c r="B448" s="142" t="s">
        <v>113</v>
      </c>
      <c r="C448" s="185">
        <v>1988</v>
      </c>
      <c r="D448" s="85"/>
      <c r="E448" s="98" t="s">
        <v>143</v>
      </c>
      <c r="F448" s="85">
        <v>5</v>
      </c>
      <c r="G448" s="85">
        <v>6</v>
      </c>
      <c r="H448" s="102">
        <v>4806.3999999999996</v>
      </c>
      <c r="I448" s="102">
        <v>4087.2</v>
      </c>
      <c r="J448" s="102">
        <v>4087.2</v>
      </c>
      <c r="K448" s="141">
        <v>172</v>
      </c>
      <c r="L448" s="88">
        <f t="shared" si="124"/>
        <v>2294873</v>
      </c>
      <c r="M448" s="88">
        <v>0</v>
      </c>
      <c r="N448" s="88">
        <v>0</v>
      </c>
      <c r="O448" s="88">
        <v>2294873</v>
      </c>
      <c r="P448" s="88">
        <v>0</v>
      </c>
      <c r="Q448" s="86">
        <f t="shared" si="125"/>
        <v>561.47802896848702</v>
      </c>
      <c r="R448" s="100">
        <v>6774</v>
      </c>
      <c r="S448" s="103">
        <v>42735</v>
      </c>
    </row>
    <row r="449" spans="1:19" s="26" customFormat="1" ht="15.75">
      <c r="A449" s="95">
        <f t="shared" si="108"/>
        <v>368</v>
      </c>
      <c r="B449" s="142" t="s">
        <v>114</v>
      </c>
      <c r="C449" s="185">
        <v>1948</v>
      </c>
      <c r="D449" s="85"/>
      <c r="E449" s="98" t="s">
        <v>146</v>
      </c>
      <c r="F449" s="85">
        <v>2</v>
      </c>
      <c r="G449" s="85">
        <v>1</v>
      </c>
      <c r="H449" s="102">
        <v>559.9</v>
      </c>
      <c r="I449" s="102">
        <v>503.7</v>
      </c>
      <c r="J449" s="102">
        <f>I449-190.7</f>
        <v>313</v>
      </c>
      <c r="K449" s="141">
        <v>26</v>
      </c>
      <c r="L449" s="88">
        <f t="shared" si="124"/>
        <v>879987</v>
      </c>
      <c r="M449" s="88">
        <v>0</v>
      </c>
      <c r="N449" s="88">
        <v>0</v>
      </c>
      <c r="O449" s="88">
        <v>879987</v>
      </c>
      <c r="P449" s="88">
        <v>0</v>
      </c>
      <c r="Q449" s="86">
        <f t="shared" si="125"/>
        <v>1747.0458606313282</v>
      </c>
      <c r="R449" s="100">
        <v>6774</v>
      </c>
      <c r="S449" s="103">
        <v>42735</v>
      </c>
    </row>
    <row r="450" spans="1:19" s="26" customFormat="1" ht="31.5">
      <c r="A450" s="95">
        <f t="shared" si="108"/>
        <v>369</v>
      </c>
      <c r="B450" s="142" t="s">
        <v>115</v>
      </c>
      <c r="C450" s="185">
        <v>1958</v>
      </c>
      <c r="D450" s="85"/>
      <c r="E450" s="98" t="s">
        <v>143</v>
      </c>
      <c r="F450" s="85">
        <v>2</v>
      </c>
      <c r="G450" s="85">
        <v>3</v>
      </c>
      <c r="H450" s="102">
        <v>1091.5999999999999</v>
      </c>
      <c r="I450" s="102">
        <v>1006.1</v>
      </c>
      <c r="J450" s="102">
        <v>1006.1</v>
      </c>
      <c r="K450" s="141">
        <v>33</v>
      </c>
      <c r="L450" s="88">
        <f t="shared" si="124"/>
        <v>1361248</v>
      </c>
      <c r="M450" s="88">
        <v>0</v>
      </c>
      <c r="N450" s="88">
        <v>0</v>
      </c>
      <c r="O450" s="88">
        <v>1361248</v>
      </c>
      <c r="P450" s="88">
        <v>0</v>
      </c>
      <c r="Q450" s="86">
        <f t="shared" si="125"/>
        <v>1352.9947321339828</v>
      </c>
      <c r="R450" s="100">
        <v>6774</v>
      </c>
      <c r="S450" s="103">
        <v>42735</v>
      </c>
    </row>
    <row r="451" spans="1:19" s="1" customFormat="1" ht="15.75">
      <c r="A451" s="95"/>
      <c r="B451" s="300" t="s">
        <v>65</v>
      </c>
      <c r="C451" s="300"/>
      <c r="D451" s="300"/>
      <c r="E451" s="300"/>
      <c r="F451" s="300"/>
      <c r="G451" s="300"/>
      <c r="H451" s="94">
        <f>H452</f>
        <v>10619.599999999999</v>
      </c>
      <c r="I451" s="94">
        <f t="shared" ref="I451:P451" si="126">I452</f>
        <v>8195.6999999999989</v>
      </c>
      <c r="J451" s="94">
        <f t="shared" si="126"/>
        <v>6450.3</v>
      </c>
      <c r="K451" s="106">
        <f t="shared" si="126"/>
        <v>429</v>
      </c>
      <c r="L451" s="88">
        <f t="shared" si="126"/>
        <v>9462538</v>
      </c>
      <c r="M451" s="88">
        <f t="shared" si="126"/>
        <v>0</v>
      </c>
      <c r="N451" s="88">
        <f t="shared" si="126"/>
        <v>0</v>
      </c>
      <c r="O451" s="88">
        <f t="shared" si="126"/>
        <v>9462538</v>
      </c>
      <c r="P451" s="88">
        <f t="shared" si="126"/>
        <v>0</v>
      </c>
      <c r="Q451" s="94" t="s">
        <v>40</v>
      </c>
      <c r="R451" s="94" t="s">
        <v>40</v>
      </c>
      <c r="S451" s="94" t="s">
        <v>40</v>
      </c>
    </row>
    <row r="452" spans="1:19" s="1" customFormat="1" ht="15.75">
      <c r="A452" s="95"/>
      <c r="B452" s="300" t="s">
        <v>646</v>
      </c>
      <c r="C452" s="300"/>
      <c r="D452" s="300"/>
      <c r="E452" s="300"/>
      <c r="F452" s="300"/>
      <c r="G452" s="300"/>
      <c r="H452" s="94">
        <f>SUM(H453:H456)</f>
        <v>10619.599999999999</v>
      </c>
      <c r="I452" s="94">
        <f t="shared" ref="I452:P452" si="127">SUM(I453:I456)</f>
        <v>8195.6999999999989</v>
      </c>
      <c r="J452" s="94">
        <f t="shared" si="127"/>
        <v>6450.3</v>
      </c>
      <c r="K452" s="106">
        <f t="shared" si="127"/>
        <v>429</v>
      </c>
      <c r="L452" s="88">
        <f t="shared" si="127"/>
        <v>9462538</v>
      </c>
      <c r="M452" s="88">
        <f t="shared" si="127"/>
        <v>0</v>
      </c>
      <c r="N452" s="88">
        <f t="shared" si="127"/>
        <v>0</v>
      </c>
      <c r="O452" s="88">
        <f t="shared" si="127"/>
        <v>9462538</v>
      </c>
      <c r="P452" s="88">
        <f t="shared" si="127"/>
        <v>0</v>
      </c>
      <c r="Q452" s="94" t="s">
        <v>40</v>
      </c>
      <c r="R452" s="94" t="s">
        <v>40</v>
      </c>
      <c r="S452" s="94" t="s">
        <v>40</v>
      </c>
    </row>
    <row r="453" spans="1:19" s="49" customFormat="1" ht="15.75">
      <c r="A453" s="95">
        <f>A450+1</f>
        <v>370</v>
      </c>
      <c r="B453" s="96" t="s">
        <v>104</v>
      </c>
      <c r="C453" s="97">
        <v>1979</v>
      </c>
      <c r="D453" s="97"/>
      <c r="E453" s="98" t="s">
        <v>144</v>
      </c>
      <c r="F453" s="97">
        <v>5</v>
      </c>
      <c r="G453" s="97">
        <v>4</v>
      </c>
      <c r="H453" s="100">
        <v>3482.7</v>
      </c>
      <c r="I453" s="100">
        <v>3216.7</v>
      </c>
      <c r="J453" s="100">
        <v>2864.9</v>
      </c>
      <c r="K453" s="101">
        <v>131</v>
      </c>
      <c r="L453" s="88">
        <v>3626543</v>
      </c>
      <c r="M453" s="88">
        <v>0</v>
      </c>
      <c r="N453" s="88">
        <v>0</v>
      </c>
      <c r="O453" s="88">
        <f>L453</f>
        <v>3626543</v>
      </c>
      <c r="P453" s="88">
        <v>0</v>
      </c>
      <c r="Q453" s="100">
        <f>L453/I453</f>
        <v>1127.4110112848573</v>
      </c>
      <c r="R453" s="100">
        <v>6774</v>
      </c>
      <c r="S453" s="103">
        <v>42643</v>
      </c>
    </row>
    <row r="454" spans="1:19" s="49" customFormat="1" ht="31.5">
      <c r="A454" s="95">
        <f t="shared" si="108"/>
        <v>371</v>
      </c>
      <c r="B454" s="96" t="s">
        <v>103</v>
      </c>
      <c r="C454" s="97">
        <v>1978</v>
      </c>
      <c r="D454" s="97"/>
      <c r="E454" s="98" t="s">
        <v>143</v>
      </c>
      <c r="F454" s="97">
        <v>5</v>
      </c>
      <c r="G454" s="97">
        <v>1</v>
      </c>
      <c r="H454" s="100">
        <v>4056.6</v>
      </c>
      <c r="I454" s="100">
        <v>2191.6</v>
      </c>
      <c r="J454" s="100">
        <v>937</v>
      </c>
      <c r="K454" s="101">
        <v>196</v>
      </c>
      <c r="L454" s="88">
        <v>2160246</v>
      </c>
      <c r="M454" s="88">
        <v>0</v>
      </c>
      <c r="N454" s="88">
        <v>0</v>
      </c>
      <c r="O454" s="88">
        <f>L454</f>
        <v>2160246</v>
      </c>
      <c r="P454" s="88">
        <v>0</v>
      </c>
      <c r="Q454" s="100">
        <f>L454/I454</f>
        <v>985.69355721847057</v>
      </c>
      <c r="R454" s="100">
        <v>6774</v>
      </c>
      <c r="S454" s="103">
        <v>42643</v>
      </c>
    </row>
    <row r="455" spans="1:19" s="49" customFormat="1" ht="31.5">
      <c r="A455" s="95">
        <f t="shared" si="108"/>
        <v>372</v>
      </c>
      <c r="B455" s="96" t="s">
        <v>105</v>
      </c>
      <c r="C455" s="97">
        <v>1925</v>
      </c>
      <c r="D455" s="97"/>
      <c r="E455" s="98" t="s">
        <v>143</v>
      </c>
      <c r="F455" s="97">
        <v>2</v>
      </c>
      <c r="G455" s="97">
        <v>2</v>
      </c>
      <c r="H455" s="100">
        <v>597.1</v>
      </c>
      <c r="I455" s="100">
        <v>487.9</v>
      </c>
      <c r="J455" s="100">
        <v>455.6</v>
      </c>
      <c r="K455" s="101">
        <v>16</v>
      </c>
      <c r="L455" s="88">
        <v>1013564</v>
      </c>
      <c r="M455" s="88">
        <v>0</v>
      </c>
      <c r="N455" s="88">
        <v>0</v>
      </c>
      <c r="O455" s="88">
        <f>L455</f>
        <v>1013564</v>
      </c>
      <c r="P455" s="88">
        <v>0</v>
      </c>
      <c r="Q455" s="100">
        <f>L455/I455</f>
        <v>2077.401106784177</v>
      </c>
      <c r="R455" s="100">
        <v>6774</v>
      </c>
      <c r="S455" s="103">
        <v>42643</v>
      </c>
    </row>
    <row r="456" spans="1:19" s="49" customFormat="1" ht="15.75">
      <c r="A456" s="95">
        <f t="shared" si="108"/>
        <v>373</v>
      </c>
      <c r="B456" s="96" t="s">
        <v>513</v>
      </c>
      <c r="C456" s="97">
        <v>1982</v>
      </c>
      <c r="D456" s="97"/>
      <c r="E456" s="98" t="s">
        <v>144</v>
      </c>
      <c r="F456" s="97">
        <v>5</v>
      </c>
      <c r="G456" s="97">
        <v>3</v>
      </c>
      <c r="H456" s="100">
        <v>2483.1999999999998</v>
      </c>
      <c r="I456" s="100">
        <v>2299.5</v>
      </c>
      <c r="J456" s="100">
        <v>2192.8000000000002</v>
      </c>
      <c r="K456" s="101">
        <v>86</v>
      </c>
      <c r="L456" s="88">
        <v>2662185</v>
      </c>
      <c r="M456" s="88">
        <v>0</v>
      </c>
      <c r="N456" s="88">
        <v>0</v>
      </c>
      <c r="O456" s="88">
        <f>L456</f>
        <v>2662185</v>
      </c>
      <c r="P456" s="88">
        <v>0</v>
      </c>
      <c r="Q456" s="100">
        <f>L456/I456</f>
        <v>1157.723418134377</v>
      </c>
      <c r="R456" s="100">
        <v>6774</v>
      </c>
      <c r="S456" s="103">
        <v>42643</v>
      </c>
    </row>
    <row r="457" spans="1:19" s="49" customFormat="1" ht="15.75" customHeight="1">
      <c r="A457" s="95"/>
      <c r="B457" s="295" t="s">
        <v>130</v>
      </c>
      <c r="C457" s="295"/>
      <c r="D457" s="295"/>
      <c r="E457" s="295"/>
      <c r="F457" s="295"/>
      <c r="G457" s="295"/>
      <c r="H457" s="100">
        <f t="shared" ref="H457:O458" si="128">H458</f>
        <v>338.3</v>
      </c>
      <c r="I457" s="100">
        <f t="shared" si="128"/>
        <v>308</v>
      </c>
      <c r="J457" s="100">
        <f t="shared" si="128"/>
        <v>272.39999999999998</v>
      </c>
      <c r="K457" s="101">
        <f t="shared" si="128"/>
        <v>13</v>
      </c>
      <c r="L457" s="88">
        <f t="shared" si="128"/>
        <v>562350</v>
      </c>
      <c r="M457" s="88">
        <f t="shared" si="128"/>
        <v>0</v>
      </c>
      <c r="N457" s="88">
        <f t="shared" si="128"/>
        <v>0</v>
      </c>
      <c r="O457" s="88">
        <f t="shared" si="128"/>
        <v>562350</v>
      </c>
      <c r="P457" s="88">
        <f>P458</f>
        <v>0</v>
      </c>
      <c r="Q457" s="94" t="s">
        <v>40</v>
      </c>
      <c r="R457" s="100" t="s">
        <v>40</v>
      </c>
      <c r="S457" s="103" t="s">
        <v>40</v>
      </c>
    </row>
    <row r="458" spans="1:19" s="49" customFormat="1" ht="15.75">
      <c r="A458" s="95"/>
      <c r="B458" s="300" t="s">
        <v>647</v>
      </c>
      <c r="C458" s="300"/>
      <c r="D458" s="300"/>
      <c r="E458" s="300"/>
      <c r="F458" s="300"/>
      <c r="G458" s="300"/>
      <c r="H458" s="100">
        <f t="shared" si="128"/>
        <v>338.3</v>
      </c>
      <c r="I458" s="100">
        <f t="shared" si="128"/>
        <v>308</v>
      </c>
      <c r="J458" s="100">
        <f t="shared" si="128"/>
        <v>272.39999999999998</v>
      </c>
      <c r="K458" s="101">
        <f t="shared" si="128"/>
        <v>13</v>
      </c>
      <c r="L458" s="88">
        <f t="shared" si="128"/>
        <v>562350</v>
      </c>
      <c r="M458" s="88">
        <f t="shared" si="128"/>
        <v>0</v>
      </c>
      <c r="N458" s="88">
        <f t="shared" si="128"/>
        <v>0</v>
      </c>
      <c r="O458" s="88">
        <f t="shared" si="128"/>
        <v>562350</v>
      </c>
      <c r="P458" s="88">
        <f>P459</f>
        <v>0</v>
      </c>
      <c r="Q458" s="94" t="s">
        <v>40</v>
      </c>
      <c r="R458" s="94" t="s">
        <v>40</v>
      </c>
      <c r="S458" s="94" t="s">
        <v>40</v>
      </c>
    </row>
    <row r="459" spans="1:19" s="49" customFormat="1" ht="31.5">
      <c r="A459" s="95">
        <f>A456+1</f>
        <v>374</v>
      </c>
      <c r="B459" s="96" t="s">
        <v>514</v>
      </c>
      <c r="C459" s="97">
        <v>1959</v>
      </c>
      <c r="D459" s="97"/>
      <c r="E459" s="98" t="s">
        <v>143</v>
      </c>
      <c r="F459" s="97">
        <v>2</v>
      </c>
      <c r="G459" s="97">
        <v>1</v>
      </c>
      <c r="H459" s="100">
        <v>338.3</v>
      </c>
      <c r="I459" s="100">
        <v>308</v>
      </c>
      <c r="J459" s="100">
        <v>272.39999999999998</v>
      </c>
      <c r="K459" s="101">
        <v>13</v>
      </c>
      <c r="L459" s="88">
        <v>562350</v>
      </c>
      <c r="M459" s="88">
        <v>0</v>
      </c>
      <c r="N459" s="88">
        <v>0</v>
      </c>
      <c r="O459" s="88">
        <v>562350</v>
      </c>
      <c r="P459" s="88">
        <v>0</v>
      </c>
      <c r="Q459" s="100">
        <f>L459/I459</f>
        <v>1825.8116883116884</v>
      </c>
      <c r="R459" s="100">
        <v>6774</v>
      </c>
      <c r="S459" s="103">
        <v>42735</v>
      </c>
    </row>
    <row r="460" spans="1:19" s="1" customFormat="1" ht="15.75">
      <c r="A460" s="95"/>
      <c r="B460" s="300" t="s">
        <v>66</v>
      </c>
      <c r="C460" s="300"/>
      <c r="D460" s="300"/>
      <c r="E460" s="300"/>
      <c r="F460" s="300"/>
      <c r="G460" s="300"/>
      <c r="H460" s="94">
        <f>H461</f>
        <v>1320.9</v>
      </c>
      <c r="I460" s="94">
        <f t="shared" ref="I460:P460" si="129">I461</f>
        <v>1289.76</v>
      </c>
      <c r="J460" s="94">
        <f t="shared" si="129"/>
        <v>1257.4100000000001</v>
      </c>
      <c r="K460" s="106">
        <f t="shared" si="129"/>
        <v>59</v>
      </c>
      <c r="L460" s="88">
        <f t="shared" si="129"/>
        <v>1267050</v>
      </c>
      <c r="M460" s="88">
        <f t="shared" si="129"/>
        <v>0</v>
      </c>
      <c r="N460" s="88">
        <f t="shared" si="129"/>
        <v>0</v>
      </c>
      <c r="O460" s="88">
        <f t="shared" si="129"/>
        <v>1267050</v>
      </c>
      <c r="P460" s="88">
        <f t="shared" si="129"/>
        <v>0</v>
      </c>
      <c r="Q460" s="94" t="s">
        <v>40</v>
      </c>
      <c r="R460" s="100" t="s">
        <v>40</v>
      </c>
      <c r="S460" s="103" t="s">
        <v>40</v>
      </c>
    </row>
    <row r="461" spans="1:19" s="1" customFormat="1" ht="15.75">
      <c r="A461" s="95"/>
      <c r="B461" s="300" t="s">
        <v>648</v>
      </c>
      <c r="C461" s="300"/>
      <c r="D461" s="300"/>
      <c r="E461" s="300"/>
      <c r="F461" s="300"/>
      <c r="G461" s="300"/>
      <c r="H461" s="94">
        <f>H462</f>
        <v>1320.9</v>
      </c>
      <c r="I461" s="94">
        <f t="shared" ref="I461:P461" si="130">I462</f>
        <v>1289.76</v>
      </c>
      <c r="J461" s="94">
        <f t="shared" si="130"/>
        <v>1257.4100000000001</v>
      </c>
      <c r="K461" s="106">
        <f t="shared" si="130"/>
        <v>59</v>
      </c>
      <c r="L461" s="88">
        <f t="shared" si="130"/>
        <v>1267050</v>
      </c>
      <c r="M461" s="88">
        <f t="shared" si="130"/>
        <v>0</v>
      </c>
      <c r="N461" s="88">
        <f t="shared" si="130"/>
        <v>0</v>
      </c>
      <c r="O461" s="88">
        <f t="shared" si="130"/>
        <v>1267050</v>
      </c>
      <c r="P461" s="88">
        <f t="shared" si="130"/>
        <v>0</v>
      </c>
      <c r="Q461" s="94" t="s">
        <v>40</v>
      </c>
      <c r="R461" s="94" t="s">
        <v>40</v>
      </c>
      <c r="S461" s="94" t="s">
        <v>40</v>
      </c>
    </row>
    <row r="462" spans="1:19" s="1" customFormat="1" ht="15.75">
      <c r="A462" s="95">
        <f>A459+1</f>
        <v>375</v>
      </c>
      <c r="B462" s="152" t="s">
        <v>515</v>
      </c>
      <c r="C462" s="97">
        <v>1990</v>
      </c>
      <c r="D462" s="97"/>
      <c r="E462" s="98" t="s">
        <v>144</v>
      </c>
      <c r="F462" s="97">
        <v>3</v>
      </c>
      <c r="G462" s="97">
        <v>3</v>
      </c>
      <c r="H462" s="100">
        <v>1320.9</v>
      </c>
      <c r="I462" s="100">
        <v>1289.76</v>
      </c>
      <c r="J462" s="100">
        <v>1257.4100000000001</v>
      </c>
      <c r="K462" s="101">
        <v>59</v>
      </c>
      <c r="L462" s="88">
        <v>1267050</v>
      </c>
      <c r="M462" s="88">
        <v>0</v>
      </c>
      <c r="N462" s="88">
        <v>0</v>
      </c>
      <c r="O462" s="88">
        <v>1267050</v>
      </c>
      <c r="P462" s="88">
        <v>0</v>
      </c>
      <c r="Q462" s="94">
        <f>L462/I462</f>
        <v>982.39207294380356</v>
      </c>
      <c r="R462" s="100">
        <v>6774</v>
      </c>
      <c r="S462" s="103">
        <v>42735</v>
      </c>
    </row>
    <row r="463" spans="1:19" s="1" customFormat="1" ht="15.75">
      <c r="A463" s="95"/>
      <c r="B463" s="300" t="s">
        <v>67</v>
      </c>
      <c r="C463" s="300"/>
      <c r="D463" s="300"/>
      <c r="E463" s="300"/>
      <c r="F463" s="300"/>
      <c r="G463" s="300"/>
      <c r="H463" s="94">
        <f>H464</f>
        <v>584.9</v>
      </c>
      <c r="I463" s="94">
        <f t="shared" ref="I463:P463" si="131">I464</f>
        <v>535.70000000000005</v>
      </c>
      <c r="J463" s="94">
        <f t="shared" si="131"/>
        <v>535.70000000000005</v>
      </c>
      <c r="K463" s="106">
        <f t="shared" si="131"/>
        <v>22</v>
      </c>
      <c r="L463" s="88">
        <f t="shared" si="131"/>
        <v>974618</v>
      </c>
      <c r="M463" s="88">
        <f t="shared" si="131"/>
        <v>0</v>
      </c>
      <c r="N463" s="88">
        <f t="shared" si="131"/>
        <v>0</v>
      </c>
      <c r="O463" s="88">
        <f t="shared" si="131"/>
        <v>974618</v>
      </c>
      <c r="P463" s="88">
        <f t="shared" si="131"/>
        <v>0</v>
      </c>
      <c r="Q463" s="94" t="s">
        <v>40</v>
      </c>
      <c r="R463" s="94" t="s">
        <v>40</v>
      </c>
      <c r="S463" s="94" t="s">
        <v>40</v>
      </c>
    </row>
    <row r="464" spans="1:19" s="1" customFormat="1" ht="15.75">
      <c r="A464" s="95"/>
      <c r="B464" s="300" t="s">
        <v>649</v>
      </c>
      <c r="C464" s="300"/>
      <c r="D464" s="300"/>
      <c r="E464" s="300"/>
      <c r="F464" s="300"/>
      <c r="G464" s="300"/>
      <c r="H464" s="94">
        <f>H465</f>
        <v>584.9</v>
      </c>
      <c r="I464" s="94">
        <f t="shared" ref="I464:P464" si="132">I465</f>
        <v>535.70000000000005</v>
      </c>
      <c r="J464" s="94">
        <f t="shared" si="132"/>
        <v>535.70000000000005</v>
      </c>
      <c r="K464" s="106">
        <f t="shared" si="132"/>
        <v>22</v>
      </c>
      <c r="L464" s="88">
        <f t="shared" si="132"/>
        <v>974618</v>
      </c>
      <c r="M464" s="88">
        <f t="shared" si="132"/>
        <v>0</v>
      </c>
      <c r="N464" s="88">
        <f t="shared" si="132"/>
        <v>0</v>
      </c>
      <c r="O464" s="88">
        <f t="shared" si="132"/>
        <v>974618</v>
      </c>
      <c r="P464" s="88">
        <f t="shared" si="132"/>
        <v>0</v>
      </c>
      <c r="Q464" s="94" t="s">
        <v>40</v>
      </c>
      <c r="R464" s="94" t="s">
        <v>40</v>
      </c>
      <c r="S464" s="94" t="s">
        <v>40</v>
      </c>
    </row>
    <row r="465" spans="1:19" s="1" customFormat="1" ht="31.5">
      <c r="A465" s="95">
        <f>A462+1</f>
        <v>376</v>
      </c>
      <c r="B465" s="117" t="s">
        <v>566</v>
      </c>
      <c r="C465" s="105">
        <v>1973</v>
      </c>
      <c r="D465" s="105"/>
      <c r="E465" s="98" t="s">
        <v>143</v>
      </c>
      <c r="F465" s="105">
        <v>2</v>
      </c>
      <c r="G465" s="105">
        <v>2</v>
      </c>
      <c r="H465" s="94">
        <v>584.9</v>
      </c>
      <c r="I465" s="94">
        <v>535.70000000000005</v>
      </c>
      <c r="J465" s="94">
        <v>535.70000000000005</v>
      </c>
      <c r="K465" s="106">
        <v>22</v>
      </c>
      <c r="L465" s="88">
        <v>974618</v>
      </c>
      <c r="M465" s="88">
        <v>0</v>
      </c>
      <c r="N465" s="88">
        <v>0</v>
      </c>
      <c r="O465" s="88">
        <f>L465</f>
        <v>974618</v>
      </c>
      <c r="P465" s="88">
        <v>0</v>
      </c>
      <c r="Q465" s="94">
        <f>L465/I465</f>
        <v>1819.335448945305</v>
      </c>
      <c r="R465" s="100">
        <v>6774</v>
      </c>
      <c r="S465" s="103">
        <v>42735</v>
      </c>
    </row>
    <row r="466" spans="1:19" s="1" customFormat="1" ht="15.75">
      <c r="A466" s="95"/>
      <c r="B466" s="300" t="s">
        <v>68</v>
      </c>
      <c r="C466" s="300"/>
      <c r="D466" s="300"/>
      <c r="E466" s="300"/>
      <c r="F466" s="300"/>
      <c r="G466" s="300"/>
      <c r="H466" s="94">
        <f>H467</f>
        <v>6992.4</v>
      </c>
      <c r="I466" s="94">
        <f t="shared" ref="I466:P466" si="133">I467</f>
        <v>6409.4</v>
      </c>
      <c r="J466" s="94">
        <f t="shared" si="133"/>
        <v>6409.4</v>
      </c>
      <c r="K466" s="106">
        <f t="shared" si="133"/>
        <v>230</v>
      </c>
      <c r="L466" s="88">
        <f t="shared" si="133"/>
        <v>3327623.09</v>
      </c>
      <c r="M466" s="88">
        <f t="shared" si="133"/>
        <v>0</v>
      </c>
      <c r="N466" s="88">
        <f t="shared" si="133"/>
        <v>71044.789999999994</v>
      </c>
      <c r="O466" s="88">
        <f t="shared" si="133"/>
        <v>3256578.3</v>
      </c>
      <c r="P466" s="88">
        <f t="shared" si="133"/>
        <v>0</v>
      </c>
      <c r="Q466" s="94" t="s">
        <v>40</v>
      </c>
      <c r="R466" s="94" t="s">
        <v>40</v>
      </c>
      <c r="S466" s="94" t="s">
        <v>40</v>
      </c>
    </row>
    <row r="467" spans="1:19" s="1" customFormat="1" ht="15.75" customHeight="1">
      <c r="A467" s="95"/>
      <c r="B467" s="299" t="s">
        <v>650</v>
      </c>
      <c r="C467" s="299"/>
      <c r="D467" s="299"/>
      <c r="E467" s="299"/>
      <c r="F467" s="299"/>
      <c r="G467" s="299"/>
      <c r="H467" s="94">
        <f>H468+H469</f>
        <v>6992.4</v>
      </c>
      <c r="I467" s="94">
        <f t="shared" ref="I467:P467" si="134">I468+I469</f>
        <v>6409.4</v>
      </c>
      <c r="J467" s="94">
        <f t="shared" si="134"/>
        <v>6409.4</v>
      </c>
      <c r="K467" s="106">
        <f t="shared" si="134"/>
        <v>230</v>
      </c>
      <c r="L467" s="88">
        <f>L468+L469</f>
        <v>3327623.09</v>
      </c>
      <c r="M467" s="88">
        <f t="shared" si="134"/>
        <v>0</v>
      </c>
      <c r="N467" s="88">
        <f t="shared" si="134"/>
        <v>71044.789999999994</v>
      </c>
      <c r="O467" s="88">
        <f t="shared" si="134"/>
        <v>3256578.3</v>
      </c>
      <c r="P467" s="88">
        <f t="shared" si="134"/>
        <v>0</v>
      </c>
      <c r="Q467" s="94" t="s">
        <v>40</v>
      </c>
      <c r="R467" s="94" t="s">
        <v>40</v>
      </c>
      <c r="S467" s="94" t="s">
        <v>40</v>
      </c>
    </row>
    <row r="468" spans="1:19" s="1" customFormat="1" ht="31.5">
      <c r="A468" s="95">
        <f>A465+1</f>
        <v>377</v>
      </c>
      <c r="B468" s="186" t="s">
        <v>517</v>
      </c>
      <c r="C468" s="187">
        <v>1984</v>
      </c>
      <c r="D468" s="175"/>
      <c r="E468" s="98" t="s">
        <v>143</v>
      </c>
      <c r="F468" s="187">
        <v>3</v>
      </c>
      <c r="G468" s="187">
        <v>3</v>
      </c>
      <c r="H468" s="92">
        <v>1982.5</v>
      </c>
      <c r="I468" s="92">
        <v>1850.9</v>
      </c>
      <c r="J468" s="92">
        <v>1850.9</v>
      </c>
      <c r="K468" s="93">
        <v>54</v>
      </c>
      <c r="L468" s="88">
        <f>SUM(M468+N468+O468+P468)</f>
        <v>913637.09</v>
      </c>
      <c r="M468" s="88">
        <v>0</v>
      </c>
      <c r="N468" s="88">
        <v>19506.189999999999</v>
      </c>
      <c r="O468" s="88">
        <v>894130.9</v>
      </c>
      <c r="P468" s="88">
        <v>0</v>
      </c>
      <c r="Q468" s="92">
        <f>L468/I468</f>
        <v>493.61774812253492</v>
      </c>
      <c r="R468" s="100">
        <v>6774</v>
      </c>
      <c r="S468" s="103">
        <v>42735</v>
      </c>
    </row>
    <row r="469" spans="1:19" s="1" customFormat="1" ht="15.75">
      <c r="A469" s="95">
        <f t="shared" ref="A469:A497" si="135">A468+1</f>
        <v>378</v>
      </c>
      <c r="B469" s="186" t="s">
        <v>516</v>
      </c>
      <c r="C469" s="175">
        <v>1977</v>
      </c>
      <c r="D469" s="188"/>
      <c r="E469" s="98" t="s">
        <v>144</v>
      </c>
      <c r="F469" s="187">
        <v>5</v>
      </c>
      <c r="G469" s="187">
        <v>6</v>
      </c>
      <c r="H469" s="92">
        <v>5009.8999999999996</v>
      </c>
      <c r="I469" s="92">
        <v>4558.5</v>
      </c>
      <c r="J469" s="92">
        <v>4558.5</v>
      </c>
      <c r="K469" s="93">
        <v>176</v>
      </c>
      <c r="L469" s="88">
        <f>SUM(M469+N469+O469+P469)</f>
        <v>2413986</v>
      </c>
      <c r="M469" s="88">
        <v>0</v>
      </c>
      <c r="N469" s="88">
        <v>51538.6</v>
      </c>
      <c r="O469" s="88">
        <v>2362447.4</v>
      </c>
      <c r="P469" s="88">
        <v>0</v>
      </c>
      <c r="Q469" s="92">
        <f>L469/I469</f>
        <v>529.55709114840408</v>
      </c>
      <c r="R469" s="100">
        <v>6774</v>
      </c>
      <c r="S469" s="103">
        <v>42735</v>
      </c>
    </row>
    <row r="470" spans="1:19" s="1" customFormat="1" ht="15.75">
      <c r="A470" s="95"/>
      <c r="B470" s="300" t="s">
        <v>69</v>
      </c>
      <c r="C470" s="300"/>
      <c r="D470" s="300"/>
      <c r="E470" s="300"/>
      <c r="F470" s="300"/>
      <c r="G470" s="300"/>
      <c r="H470" s="94">
        <f>H471</f>
        <v>6768.4</v>
      </c>
      <c r="I470" s="94">
        <f t="shared" ref="I470:P470" si="136">I471</f>
        <v>6243</v>
      </c>
      <c r="J470" s="94">
        <f t="shared" si="136"/>
        <v>5931.5999999999995</v>
      </c>
      <c r="K470" s="106">
        <f t="shared" si="136"/>
        <v>206</v>
      </c>
      <c r="L470" s="88">
        <f t="shared" si="136"/>
        <v>6928539</v>
      </c>
      <c r="M470" s="88">
        <f t="shared" si="136"/>
        <v>0</v>
      </c>
      <c r="N470" s="88">
        <f t="shared" si="136"/>
        <v>0</v>
      </c>
      <c r="O470" s="88">
        <f t="shared" si="136"/>
        <v>6928539</v>
      </c>
      <c r="P470" s="88">
        <f t="shared" si="136"/>
        <v>0</v>
      </c>
      <c r="Q470" s="94" t="s">
        <v>40</v>
      </c>
      <c r="R470" s="94" t="s">
        <v>40</v>
      </c>
      <c r="S470" s="94" t="s">
        <v>40</v>
      </c>
    </row>
    <row r="471" spans="1:19" s="1" customFormat="1" ht="15.75">
      <c r="A471" s="95"/>
      <c r="B471" s="300" t="s">
        <v>651</v>
      </c>
      <c r="C471" s="300"/>
      <c r="D471" s="300"/>
      <c r="E471" s="300"/>
      <c r="F471" s="300"/>
      <c r="G471" s="300"/>
      <c r="H471" s="94">
        <f>SUM(H472:H475)</f>
        <v>6768.4</v>
      </c>
      <c r="I471" s="94">
        <f t="shared" ref="I471:O471" si="137">SUM(I472:I475)</f>
        <v>6243</v>
      </c>
      <c r="J471" s="94">
        <f t="shared" si="137"/>
        <v>5931.5999999999995</v>
      </c>
      <c r="K471" s="106">
        <f t="shared" si="137"/>
        <v>206</v>
      </c>
      <c r="L471" s="88">
        <f t="shared" si="137"/>
        <v>6928539</v>
      </c>
      <c r="M471" s="88">
        <f t="shared" si="137"/>
        <v>0</v>
      </c>
      <c r="N471" s="88">
        <f t="shared" si="137"/>
        <v>0</v>
      </c>
      <c r="O471" s="88">
        <f t="shared" si="137"/>
        <v>6928539</v>
      </c>
      <c r="P471" s="88">
        <f t="shared" ref="P471" si="138">SUM(P472:P474)</f>
        <v>0</v>
      </c>
      <c r="Q471" s="94" t="s">
        <v>40</v>
      </c>
      <c r="R471" s="94" t="s">
        <v>40</v>
      </c>
      <c r="S471" s="94" t="s">
        <v>40</v>
      </c>
    </row>
    <row r="472" spans="1:19" s="1" customFormat="1" ht="31.5">
      <c r="A472" s="95">
        <f>A469+1</f>
        <v>379</v>
      </c>
      <c r="B472" s="117" t="s">
        <v>520</v>
      </c>
      <c r="C472" s="105">
        <v>1958</v>
      </c>
      <c r="D472" s="105"/>
      <c r="E472" s="98" t="s">
        <v>143</v>
      </c>
      <c r="F472" s="105">
        <v>2</v>
      </c>
      <c r="G472" s="105">
        <v>2</v>
      </c>
      <c r="H472" s="94">
        <v>753.1</v>
      </c>
      <c r="I472" s="94">
        <v>681.3</v>
      </c>
      <c r="J472" s="94">
        <v>681.3</v>
      </c>
      <c r="K472" s="106">
        <v>24</v>
      </c>
      <c r="L472" s="88">
        <v>1519076</v>
      </c>
      <c r="M472" s="88">
        <v>0</v>
      </c>
      <c r="N472" s="88">
        <v>0</v>
      </c>
      <c r="O472" s="88">
        <f>L472</f>
        <v>1519076</v>
      </c>
      <c r="P472" s="88">
        <v>0</v>
      </c>
      <c r="Q472" s="94">
        <f>L472/I472</f>
        <v>2229.6726845736093</v>
      </c>
      <c r="R472" s="100">
        <v>6774</v>
      </c>
      <c r="S472" s="103">
        <v>42735</v>
      </c>
    </row>
    <row r="473" spans="1:19" s="1" customFormat="1" ht="31.5">
      <c r="A473" s="95">
        <f t="shared" si="135"/>
        <v>380</v>
      </c>
      <c r="B473" s="117" t="s">
        <v>521</v>
      </c>
      <c r="C473" s="105">
        <v>1975</v>
      </c>
      <c r="D473" s="105"/>
      <c r="E473" s="98" t="s">
        <v>143</v>
      </c>
      <c r="F473" s="105">
        <v>5</v>
      </c>
      <c r="G473" s="105">
        <v>6</v>
      </c>
      <c r="H473" s="94">
        <v>4928.2</v>
      </c>
      <c r="I473" s="94">
        <v>4537.6000000000004</v>
      </c>
      <c r="J473" s="94">
        <v>4274.7</v>
      </c>
      <c r="K473" s="106">
        <v>140</v>
      </c>
      <c r="L473" s="88">
        <v>2684822</v>
      </c>
      <c r="M473" s="88">
        <v>0</v>
      </c>
      <c r="N473" s="88">
        <v>0</v>
      </c>
      <c r="O473" s="88">
        <f>L473</f>
        <v>2684822</v>
      </c>
      <c r="P473" s="88">
        <v>0</v>
      </c>
      <c r="Q473" s="94">
        <f>L473/I473</f>
        <v>591.68326868829331</v>
      </c>
      <c r="R473" s="100">
        <v>6774</v>
      </c>
      <c r="S473" s="103">
        <v>42735</v>
      </c>
    </row>
    <row r="474" spans="1:19" s="1" customFormat="1" ht="31.5">
      <c r="A474" s="95">
        <f t="shared" si="135"/>
        <v>381</v>
      </c>
      <c r="B474" s="117" t="s">
        <v>518</v>
      </c>
      <c r="C474" s="105">
        <v>1959</v>
      </c>
      <c r="D474" s="105"/>
      <c r="E474" s="98" t="s">
        <v>143</v>
      </c>
      <c r="F474" s="105">
        <v>2</v>
      </c>
      <c r="G474" s="105">
        <v>1</v>
      </c>
      <c r="H474" s="94">
        <v>463.9</v>
      </c>
      <c r="I474" s="94">
        <v>451.2</v>
      </c>
      <c r="J474" s="94">
        <v>402.7</v>
      </c>
      <c r="K474" s="106">
        <v>16</v>
      </c>
      <c r="L474" s="88">
        <v>1565357</v>
      </c>
      <c r="M474" s="88">
        <v>0</v>
      </c>
      <c r="N474" s="88">
        <v>0</v>
      </c>
      <c r="O474" s="88">
        <f>L474</f>
        <v>1565357</v>
      </c>
      <c r="P474" s="88">
        <v>0</v>
      </c>
      <c r="Q474" s="94">
        <f>L474/I474</f>
        <v>3469.3195921985816</v>
      </c>
      <c r="R474" s="100">
        <v>6774</v>
      </c>
      <c r="S474" s="103">
        <v>42735</v>
      </c>
    </row>
    <row r="475" spans="1:19" s="1" customFormat="1" ht="31.5">
      <c r="A475" s="95">
        <f t="shared" si="135"/>
        <v>382</v>
      </c>
      <c r="B475" s="117" t="s">
        <v>519</v>
      </c>
      <c r="C475" s="105">
        <v>1977</v>
      </c>
      <c r="D475" s="105"/>
      <c r="E475" s="98" t="s">
        <v>143</v>
      </c>
      <c r="F475" s="105">
        <v>2</v>
      </c>
      <c r="G475" s="105">
        <v>2</v>
      </c>
      <c r="H475" s="94">
        <v>623.20000000000005</v>
      </c>
      <c r="I475" s="94">
        <v>572.9</v>
      </c>
      <c r="J475" s="94">
        <v>572.9</v>
      </c>
      <c r="K475" s="106">
        <v>26</v>
      </c>
      <c r="L475" s="88">
        <v>1159284</v>
      </c>
      <c r="M475" s="88">
        <v>0</v>
      </c>
      <c r="N475" s="88">
        <v>0</v>
      </c>
      <c r="O475" s="88">
        <f>L475</f>
        <v>1159284</v>
      </c>
      <c r="P475" s="88">
        <v>0</v>
      </c>
      <c r="Q475" s="94">
        <f>L475/I475</f>
        <v>2023.5363937860011</v>
      </c>
      <c r="R475" s="100">
        <v>6774</v>
      </c>
      <c r="S475" s="103">
        <v>42735</v>
      </c>
    </row>
    <row r="476" spans="1:19" s="1" customFormat="1" ht="15.75">
      <c r="A476" s="95"/>
      <c r="B476" s="300" t="s">
        <v>131</v>
      </c>
      <c r="C476" s="300"/>
      <c r="D476" s="300"/>
      <c r="E476" s="300"/>
      <c r="F476" s="300"/>
      <c r="G476" s="300"/>
      <c r="H476" s="94">
        <f>H477+H479</f>
        <v>1884.6</v>
      </c>
      <c r="I476" s="94">
        <f t="shared" ref="I476:P476" si="139">I477+I479</f>
        <v>1703.7</v>
      </c>
      <c r="J476" s="94">
        <f t="shared" si="139"/>
        <v>1485.7</v>
      </c>
      <c r="K476" s="106">
        <f t="shared" si="139"/>
        <v>70</v>
      </c>
      <c r="L476" s="88">
        <f t="shared" si="139"/>
        <v>1917402</v>
      </c>
      <c r="M476" s="88">
        <f t="shared" si="139"/>
        <v>0</v>
      </c>
      <c r="N476" s="88">
        <f t="shared" si="139"/>
        <v>0</v>
      </c>
      <c r="O476" s="88">
        <f t="shared" si="139"/>
        <v>1917402</v>
      </c>
      <c r="P476" s="88">
        <f t="shared" si="139"/>
        <v>0</v>
      </c>
      <c r="Q476" s="94" t="s">
        <v>40</v>
      </c>
      <c r="R476" s="94" t="s">
        <v>40</v>
      </c>
      <c r="S476" s="94" t="s">
        <v>40</v>
      </c>
    </row>
    <row r="477" spans="1:19" s="1" customFormat="1" ht="15.75">
      <c r="A477" s="95"/>
      <c r="B477" s="300" t="s">
        <v>652</v>
      </c>
      <c r="C477" s="300"/>
      <c r="D477" s="300"/>
      <c r="E477" s="300"/>
      <c r="F477" s="300"/>
      <c r="G477" s="300"/>
      <c r="H477" s="94">
        <f>H478</f>
        <v>388.1</v>
      </c>
      <c r="I477" s="94">
        <f t="shared" ref="I477:P477" si="140">I478</f>
        <v>358</v>
      </c>
      <c r="J477" s="94">
        <f t="shared" si="140"/>
        <v>358</v>
      </c>
      <c r="K477" s="106">
        <f t="shared" si="140"/>
        <v>13</v>
      </c>
      <c r="L477" s="88">
        <f t="shared" si="140"/>
        <v>698989</v>
      </c>
      <c r="M477" s="88">
        <f t="shared" si="140"/>
        <v>0</v>
      </c>
      <c r="N477" s="88">
        <f t="shared" si="140"/>
        <v>0</v>
      </c>
      <c r="O477" s="88">
        <f t="shared" si="140"/>
        <v>698989</v>
      </c>
      <c r="P477" s="88">
        <f t="shared" si="140"/>
        <v>0</v>
      </c>
      <c r="Q477" s="94" t="s">
        <v>40</v>
      </c>
      <c r="R477" s="100" t="s">
        <v>40</v>
      </c>
      <c r="S477" s="103" t="s">
        <v>40</v>
      </c>
    </row>
    <row r="478" spans="1:19" s="1" customFormat="1" ht="31.5">
      <c r="A478" s="95">
        <f>A475+1</f>
        <v>383</v>
      </c>
      <c r="B478" s="117" t="s">
        <v>522</v>
      </c>
      <c r="C478" s="105">
        <v>1968</v>
      </c>
      <c r="D478" s="105"/>
      <c r="E478" s="98" t="s">
        <v>143</v>
      </c>
      <c r="F478" s="105">
        <v>2</v>
      </c>
      <c r="G478" s="105">
        <v>1</v>
      </c>
      <c r="H478" s="94">
        <v>388.1</v>
      </c>
      <c r="I478" s="94">
        <v>358</v>
      </c>
      <c r="J478" s="94">
        <v>358</v>
      </c>
      <c r="K478" s="106">
        <v>13</v>
      </c>
      <c r="L478" s="88">
        <v>698989</v>
      </c>
      <c r="M478" s="88">
        <v>0</v>
      </c>
      <c r="N478" s="88">
        <v>0</v>
      </c>
      <c r="O478" s="88">
        <v>698989</v>
      </c>
      <c r="P478" s="88">
        <v>0</v>
      </c>
      <c r="Q478" s="94">
        <f>L478/I478</f>
        <v>1952.4832402234638</v>
      </c>
      <c r="R478" s="100">
        <v>6774</v>
      </c>
      <c r="S478" s="103">
        <v>42735</v>
      </c>
    </row>
    <row r="479" spans="1:19" s="1" customFormat="1" ht="15.75">
      <c r="A479" s="95"/>
      <c r="B479" s="300" t="s">
        <v>653</v>
      </c>
      <c r="C479" s="300"/>
      <c r="D479" s="300"/>
      <c r="E479" s="300"/>
      <c r="F479" s="300"/>
      <c r="G479" s="300"/>
      <c r="H479" s="94">
        <f>H480</f>
        <v>1496.5</v>
      </c>
      <c r="I479" s="94">
        <f t="shared" ref="I479:P479" si="141">I480</f>
        <v>1345.7</v>
      </c>
      <c r="J479" s="94">
        <f t="shared" si="141"/>
        <v>1127.7</v>
      </c>
      <c r="K479" s="106">
        <f t="shared" si="141"/>
        <v>57</v>
      </c>
      <c r="L479" s="88">
        <f t="shared" si="141"/>
        <v>1218413</v>
      </c>
      <c r="M479" s="88">
        <f t="shared" si="141"/>
        <v>0</v>
      </c>
      <c r="N479" s="88">
        <f t="shared" si="141"/>
        <v>0</v>
      </c>
      <c r="O479" s="88">
        <f t="shared" si="141"/>
        <v>1218413</v>
      </c>
      <c r="P479" s="88">
        <f t="shared" si="141"/>
        <v>0</v>
      </c>
      <c r="Q479" s="94" t="s">
        <v>40</v>
      </c>
      <c r="R479" s="100" t="s">
        <v>40</v>
      </c>
      <c r="S479" s="103" t="s">
        <v>40</v>
      </c>
    </row>
    <row r="480" spans="1:19" s="1" customFormat="1" ht="15.75">
      <c r="A480" s="95">
        <f>A478+1</f>
        <v>384</v>
      </c>
      <c r="B480" s="117" t="s">
        <v>523</v>
      </c>
      <c r="C480" s="105">
        <v>1979</v>
      </c>
      <c r="D480" s="105"/>
      <c r="E480" s="98" t="s">
        <v>144</v>
      </c>
      <c r="F480" s="105">
        <v>3</v>
      </c>
      <c r="G480" s="105">
        <v>3</v>
      </c>
      <c r="H480" s="94">
        <v>1496.5</v>
      </c>
      <c r="I480" s="94">
        <v>1345.7</v>
      </c>
      <c r="J480" s="94">
        <v>1127.7</v>
      </c>
      <c r="K480" s="106">
        <v>57</v>
      </c>
      <c r="L480" s="88">
        <v>1218413</v>
      </c>
      <c r="M480" s="88">
        <v>0</v>
      </c>
      <c r="N480" s="88">
        <v>0</v>
      </c>
      <c r="O480" s="88">
        <v>1218413</v>
      </c>
      <c r="P480" s="88">
        <v>0</v>
      </c>
      <c r="Q480" s="94">
        <f>L480/I480</f>
        <v>905.41205320650954</v>
      </c>
      <c r="R480" s="100">
        <v>6774</v>
      </c>
      <c r="S480" s="103">
        <v>42735</v>
      </c>
    </row>
    <row r="481" spans="1:19" s="1" customFormat="1" ht="15.75">
      <c r="A481" s="95"/>
      <c r="B481" s="300" t="s">
        <v>70</v>
      </c>
      <c r="C481" s="300"/>
      <c r="D481" s="300"/>
      <c r="E481" s="300"/>
      <c r="F481" s="300"/>
      <c r="G481" s="300"/>
      <c r="H481" s="94">
        <f>H482</f>
        <v>2163.9</v>
      </c>
      <c r="I481" s="94">
        <f t="shared" ref="I481:P481" si="142">I482</f>
        <v>1988.7</v>
      </c>
      <c r="J481" s="94">
        <f t="shared" si="142"/>
        <v>1732.5</v>
      </c>
      <c r="K481" s="106">
        <f t="shared" si="142"/>
        <v>78</v>
      </c>
      <c r="L481" s="88">
        <f t="shared" si="142"/>
        <v>3203644.56</v>
      </c>
      <c r="M481" s="88">
        <f t="shared" si="142"/>
        <v>0</v>
      </c>
      <c r="N481" s="88">
        <f t="shared" si="142"/>
        <v>1098000</v>
      </c>
      <c r="O481" s="88">
        <f t="shared" si="142"/>
        <v>2105644.56</v>
      </c>
      <c r="P481" s="88">
        <f t="shared" si="142"/>
        <v>0</v>
      </c>
      <c r="Q481" s="94" t="s">
        <v>40</v>
      </c>
      <c r="R481" s="94" t="s">
        <v>40</v>
      </c>
      <c r="S481" s="94" t="s">
        <v>40</v>
      </c>
    </row>
    <row r="482" spans="1:19" s="1" customFormat="1" ht="15.75">
      <c r="A482" s="95"/>
      <c r="B482" s="300" t="s">
        <v>654</v>
      </c>
      <c r="C482" s="300"/>
      <c r="D482" s="300"/>
      <c r="E482" s="300"/>
      <c r="F482" s="300"/>
      <c r="G482" s="300"/>
      <c r="H482" s="94">
        <f>H483+H484+H485</f>
        <v>2163.9</v>
      </c>
      <c r="I482" s="94">
        <f>I483+I484+I485</f>
        <v>1988.7</v>
      </c>
      <c r="J482" s="94">
        <f>J483+J484+J485</f>
        <v>1732.5</v>
      </c>
      <c r="K482" s="106">
        <f t="shared" ref="K482:P482" si="143">K483+K484+K485</f>
        <v>78</v>
      </c>
      <c r="L482" s="88">
        <f t="shared" si="143"/>
        <v>3203644.56</v>
      </c>
      <c r="M482" s="88">
        <f t="shared" si="143"/>
        <v>0</v>
      </c>
      <c r="N482" s="88">
        <f>N483+N484+N485</f>
        <v>1098000</v>
      </c>
      <c r="O482" s="88">
        <f t="shared" si="143"/>
        <v>2105644.56</v>
      </c>
      <c r="P482" s="88">
        <f t="shared" si="143"/>
        <v>0</v>
      </c>
      <c r="Q482" s="94" t="s">
        <v>40</v>
      </c>
      <c r="R482" s="100" t="s">
        <v>40</v>
      </c>
      <c r="S482" s="103" t="s">
        <v>40</v>
      </c>
    </row>
    <row r="483" spans="1:19" s="1" customFormat="1" ht="31.5">
      <c r="A483" s="95">
        <f>A480+1</f>
        <v>385</v>
      </c>
      <c r="B483" s="117" t="s">
        <v>524</v>
      </c>
      <c r="C483" s="105">
        <v>1966</v>
      </c>
      <c r="D483" s="105"/>
      <c r="E483" s="98" t="s">
        <v>143</v>
      </c>
      <c r="F483" s="105">
        <v>3</v>
      </c>
      <c r="G483" s="105">
        <v>2</v>
      </c>
      <c r="H483" s="94">
        <v>839.7</v>
      </c>
      <c r="I483" s="94">
        <v>776.1</v>
      </c>
      <c r="J483" s="94">
        <v>681</v>
      </c>
      <c r="K483" s="106">
        <v>31</v>
      </c>
      <c r="L483" s="88">
        <v>1014242.07</v>
      </c>
      <c r="M483" s="88">
        <v>0</v>
      </c>
      <c r="N483" s="88">
        <v>366000</v>
      </c>
      <c r="O483" s="88">
        <v>648242.06999999995</v>
      </c>
      <c r="P483" s="88">
        <v>0</v>
      </c>
      <c r="Q483" s="94">
        <f>L483/I483</f>
        <v>1306.8445689988403</v>
      </c>
      <c r="R483" s="100">
        <v>6774</v>
      </c>
      <c r="S483" s="103">
        <v>42729</v>
      </c>
    </row>
    <row r="484" spans="1:19" s="1" customFormat="1" ht="31.5">
      <c r="A484" s="95">
        <f t="shared" si="135"/>
        <v>386</v>
      </c>
      <c r="B484" s="117" t="s">
        <v>526</v>
      </c>
      <c r="C484" s="105">
        <v>1963</v>
      </c>
      <c r="D484" s="105"/>
      <c r="E484" s="98" t="s">
        <v>143</v>
      </c>
      <c r="F484" s="105">
        <v>2</v>
      </c>
      <c r="G484" s="105">
        <v>2</v>
      </c>
      <c r="H484" s="94">
        <v>502</v>
      </c>
      <c r="I484" s="94">
        <v>452.9</v>
      </c>
      <c r="J484" s="94">
        <v>416.9</v>
      </c>
      <c r="K484" s="106">
        <v>24</v>
      </c>
      <c r="L484" s="88">
        <v>812174.49</v>
      </c>
      <c r="M484" s="88">
        <v>0</v>
      </c>
      <c r="N484" s="88">
        <v>366000</v>
      </c>
      <c r="O484" s="88">
        <v>446174.49</v>
      </c>
      <c r="P484" s="88">
        <v>0</v>
      </c>
      <c r="Q484" s="94">
        <f>L484/I484</f>
        <v>1793.2755354382866</v>
      </c>
      <c r="R484" s="100">
        <v>6774</v>
      </c>
      <c r="S484" s="103">
        <v>42729</v>
      </c>
    </row>
    <row r="485" spans="1:19" s="1" customFormat="1" ht="31.5">
      <c r="A485" s="95">
        <f t="shared" si="135"/>
        <v>387</v>
      </c>
      <c r="B485" s="117" t="s">
        <v>525</v>
      </c>
      <c r="C485" s="105">
        <v>1974</v>
      </c>
      <c r="D485" s="105"/>
      <c r="E485" s="98" t="s">
        <v>143</v>
      </c>
      <c r="F485" s="105">
        <v>2</v>
      </c>
      <c r="G485" s="105">
        <v>2</v>
      </c>
      <c r="H485" s="94">
        <v>822.2</v>
      </c>
      <c r="I485" s="94">
        <v>759.7</v>
      </c>
      <c r="J485" s="94">
        <v>634.6</v>
      </c>
      <c r="K485" s="106">
        <v>23</v>
      </c>
      <c r="L485" s="88">
        <v>1377228</v>
      </c>
      <c r="M485" s="88">
        <v>0</v>
      </c>
      <c r="N485" s="88">
        <v>366000</v>
      </c>
      <c r="O485" s="88">
        <v>1011228</v>
      </c>
      <c r="P485" s="88">
        <v>0</v>
      </c>
      <c r="Q485" s="94">
        <f>L485/I485</f>
        <v>1812.857706989601</v>
      </c>
      <c r="R485" s="100">
        <v>6774</v>
      </c>
      <c r="S485" s="103">
        <v>42729</v>
      </c>
    </row>
    <row r="486" spans="1:19" s="1" customFormat="1" ht="15.75">
      <c r="A486" s="95"/>
      <c r="B486" s="300" t="s">
        <v>128</v>
      </c>
      <c r="C486" s="300"/>
      <c r="D486" s="300"/>
      <c r="E486" s="300"/>
      <c r="F486" s="300"/>
      <c r="G486" s="300"/>
      <c r="H486" s="94">
        <f>SUM(H487:H497)</f>
        <v>58417.33</v>
      </c>
      <c r="I486" s="94">
        <f t="shared" ref="I486:P486" si="144">SUM(I487:I497)</f>
        <v>51087.229999999996</v>
      </c>
      <c r="J486" s="94">
        <f t="shared" si="144"/>
        <v>48360.03</v>
      </c>
      <c r="K486" s="106">
        <f t="shared" si="144"/>
        <v>2304</v>
      </c>
      <c r="L486" s="88">
        <f t="shared" si="144"/>
        <v>24105185</v>
      </c>
      <c r="M486" s="88">
        <f t="shared" si="144"/>
        <v>0</v>
      </c>
      <c r="N486" s="88">
        <f t="shared" si="144"/>
        <v>0</v>
      </c>
      <c r="O486" s="88">
        <f t="shared" si="144"/>
        <v>24105185</v>
      </c>
      <c r="P486" s="88">
        <f t="shared" si="144"/>
        <v>0</v>
      </c>
      <c r="Q486" s="94" t="s">
        <v>40</v>
      </c>
      <c r="R486" s="94" t="s">
        <v>40</v>
      </c>
      <c r="S486" s="94" t="s">
        <v>40</v>
      </c>
    </row>
    <row r="487" spans="1:19" s="20" customFormat="1" ht="15.75">
      <c r="A487" s="95">
        <f>A485+1</f>
        <v>388</v>
      </c>
      <c r="B487" s="152" t="s">
        <v>568</v>
      </c>
      <c r="C487" s="91">
        <v>1982</v>
      </c>
      <c r="D487" s="91"/>
      <c r="E487" s="98" t="s">
        <v>144</v>
      </c>
      <c r="F487" s="105">
        <v>5</v>
      </c>
      <c r="G487" s="105">
        <v>6</v>
      </c>
      <c r="H487" s="92">
        <v>5002.6000000000004</v>
      </c>
      <c r="I487" s="92">
        <v>4576.6000000000004</v>
      </c>
      <c r="J487" s="92">
        <v>4494.9000000000005</v>
      </c>
      <c r="K487" s="93">
        <v>149</v>
      </c>
      <c r="L487" s="88">
        <v>2313568</v>
      </c>
      <c r="M487" s="88">
        <v>0</v>
      </c>
      <c r="N487" s="88">
        <v>0</v>
      </c>
      <c r="O487" s="88">
        <f t="shared" ref="O487:O497" si="145">L487</f>
        <v>2313568</v>
      </c>
      <c r="P487" s="88">
        <v>0</v>
      </c>
      <c r="Q487" s="92">
        <f t="shared" ref="Q487:Q497" si="146">L487/I487</f>
        <v>505.52112922256691</v>
      </c>
      <c r="R487" s="100">
        <v>6774</v>
      </c>
      <c r="S487" s="103">
        <v>42735</v>
      </c>
    </row>
    <row r="488" spans="1:19" s="20" customFormat="1" ht="15.75">
      <c r="A488" s="95">
        <f t="shared" si="135"/>
        <v>389</v>
      </c>
      <c r="B488" s="152" t="s">
        <v>567</v>
      </c>
      <c r="C488" s="91">
        <v>1979</v>
      </c>
      <c r="D488" s="91"/>
      <c r="E488" s="98" t="s">
        <v>144</v>
      </c>
      <c r="F488" s="105">
        <v>5</v>
      </c>
      <c r="G488" s="105">
        <v>14</v>
      </c>
      <c r="H488" s="92">
        <v>7772.33</v>
      </c>
      <c r="I488" s="92">
        <v>7007.93</v>
      </c>
      <c r="J488" s="92">
        <v>6530.7300000000005</v>
      </c>
      <c r="K488" s="93">
        <v>283</v>
      </c>
      <c r="L488" s="88">
        <v>3605663</v>
      </c>
      <c r="M488" s="88">
        <v>0</v>
      </c>
      <c r="N488" s="88">
        <v>0</v>
      </c>
      <c r="O488" s="88">
        <f t="shared" si="145"/>
        <v>3605663</v>
      </c>
      <c r="P488" s="88">
        <v>0</v>
      </c>
      <c r="Q488" s="92">
        <f t="shared" si="146"/>
        <v>514.51184586604029</v>
      </c>
      <c r="R488" s="100">
        <v>6774</v>
      </c>
      <c r="S488" s="103">
        <v>42735</v>
      </c>
    </row>
    <row r="489" spans="1:19" s="20" customFormat="1" ht="31.5">
      <c r="A489" s="95">
        <f t="shared" si="135"/>
        <v>390</v>
      </c>
      <c r="B489" s="152" t="s">
        <v>527</v>
      </c>
      <c r="C489" s="91">
        <v>1983</v>
      </c>
      <c r="D489" s="91"/>
      <c r="E489" s="98" t="s">
        <v>143</v>
      </c>
      <c r="F489" s="105">
        <v>9</v>
      </c>
      <c r="G489" s="105">
        <v>1</v>
      </c>
      <c r="H489" s="92">
        <v>5874.5</v>
      </c>
      <c r="I489" s="92">
        <v>4804</v>
      </c>
      <c r="J489" s="92">
        <v>4636.9000000000005</v>
      </c>
      <c r="K489" s="93">
        <v>191</v>
      </c>
      <c r="L489" s="88">
        <v>4589892</v>
      </c>
      <c r="M489" s="88">
        <v>0</v>
      </c>
      <c r="N489" s="88">
        <v>0</v>
      </c>
      <c r="O489" s="88">
        <f t="shared" si="145"/>
        <v>4589892</v>
      </c>
      <c r="P489" s="88">
        <v>0</v>
      </c>
      <c r="Q489" s="92">
        <f t="shared" si="146"/>
        <v>955.43130724396337</v>
      </c>
      <c r="R489" s="100">
        <v>6774</v>
      </c>
      <c r="S489" s="103">
        <v>42735</v>
      </c>
    </row>
    <row r="490" spans="1:19" s="20" customFormat="1" ht="31.5">
      <c r="A490" s="95">
        <f t="shared" si="135"/>
        <v>391</v>
      </c>
      <c r="B490" s="152" t="s">
        <v>530</v>
      </c>
      <c r="C490" s="91">
        <v>1979</v>
      </c>
      <c r="D490" s="91"/>
      <c r="E490" s="98" t="s">
        <v>143</v>
      </c>
      <c r="F490" s="105">
        <v>9</v>
      </c>
      <c r="G490" s="105">
        <v>1</v>
      </c>
      <c r="H490" s="92">
        <v>5662</v>
      </c>
      <c r="I490" s="92">
        <v>4617</v>
      </c>
      <c r="J490" s="92">
        <v>3466.9</v>
      </c>
      <c r="K490" s="93">
        <v>245</v>
      </c>
      <c r="L490" s="88">
        <v>1563100</v>
      </c>
      <c r="M490" s="88">
        <v>0</v>
      </c>
      <c r="N490" s="88">
        <v>0</v>
      </c>
      <c r="O490" s="88">
        <f t="shared" si="145"/>
        <v>1563100</v>
      </c>
      <c r="P490" s="88">
        <v>0</v>
      </c>
      <c r="Q490" s="92">
        <f t="shared" si="146"/>
        <v>338.55317305609702</v>
      </c>
      <c r="R490" s="100">
        <v>6774</v>
      </c>
      <c r="S490" s="103">
        <v>42735</v>
      </c>
    </row>
    <row r="491" spans="1:19" s="20" customFormat="1" ht="15.75">
      <c r="A491" s="95">
        <f t="shared" si="135"/>
        <v>392</v>
      </c>
      <c r="B491" s="152" t="s">
        <v>533</v>
      </c>
      <c r="C491" s="91">
        <v>1976</v>
      </c>
      <c r="D491" s="91"/>
      <c r="E491" s="98" t="s">
        <v>144</v>
      </c>
      <c r="F491" s="105">
        <v>5</v>
      </c>
      <c r="G491" s="105">
        <v>4</v>
      </c>
      <c r="H491" s="92">
        <v>2391.5</v>
      </c>
      <c r="I491" s="92">
        <v>2173.1</v>
      </c>
      <c r="J491" s="92">
        <v>2085.7999999999997</v>
      </c>
      <c r="K491" s="93">
        <v>101</v>
      </c>
      <c r="L491" s="88">
        <v>1061789</v>
      </c>
      <c r="M491" s="88">
        <v>0</v>
      </c>
      <c r="N491" s="88">
        <v>0</v>
      </c>
      <c r="O491" s="88">
        <f t="shared" si="145"/>
        <v>1061789</v>
      </c>
      <c r="P491" s="88">
        <v>0</v>
      </c>
      <c r="Q491" s="92">
        <f t="shared" si="146"/>
        <v>488.60567852376789</v>
      </c>
      <c r="R491" s="100">
        <v>6774</v>
      </c>
      <c r="S491" s="103">
        <v>42735</v>
      </c>
    </row>
    <row r="492" spans="1:19" s="20" customFormat="1" ht="15.75">
      <c r="A492" s="95">
        <f t="shared" si="135"/>
        <v>393</v>
      </c>
      <c r="B492" s="152" t="s">
        <v>531</v>
      </c>
      <c r="C492" s="91">
        <v>1988</v>
      </c>
      <c r="D492" s="91"/>
      <c r="E492" s="98" t="s">
        <v>144</v>
      </c>
      <c r="F492" s="105">
        <v>9</v>
      </c>
      <c r="G492" s="105">
        <v>2</v>
      </c>
      <c r="H492" s="92">
        <v>5126</v>
      </c>
      <c r="I492" s="92">
        <v>4601.2</v>
      </c>
      <c r="J492" s="92">
        <v>4528.7</v>
      </c>
      <c r="K492" s="93">
        <v>205</v>
      </c>
      <c r="L492" s="88">
        <v>1525114</v>
      </c>
      <c r="M492" s="88">
        <v>0</v>
      </c>
      <c r="N492" s="88">
        <v>0</v>
      </c>
      <c r="O492" s="88">
        <f t="shared" si="145"/>
        <v>1525114</v>
      </c>
      <c r="P492" s="88">
        <v>0</v>
      </c>
      <c r="Q492" s="92">
        <f t="shared" si="146"/>
        <v>331.46005389898289</v>
      </c>
      <c r="R492" s="100">
        <v>6774</v>
      </c>
      <c r="S492" s="103">
        <v>42735</v>
      </c>
    </row>
    <row r="493" spans="1:19" s="20" customFormat="1" ht="15.75">
      <c r="A493" s="95">
        <f t="shared" si="135"/>
        <v>394</v>
      </c>
      <c r="B493" s="152" t="s">
        <v>532</v>
      </c>
      <c r="C493" s="91">
        <v>1988</v>
      </c>
      <c r="D493" s="91"/>
      <c r="E493" s="98" t="s">
        <v>144</v>
      </c>
      <c r="F493" s="105">
        <v>9</v>
      </c>
      <c r="G493" s="105">
        <v>2</v>
      </c>
      <c r="H493" s="92">
        <v>5111.8999999999996</v>
      </c>
      <c r="I493" s="92">
        <v>4443.3999999999996</v>
      </c>
      <c r="J493" s="92">
        <v>4383.7</v>
      </c>
      <c r="K493" s="93">
        <v>236</v>
      </c>
      <c r="L493" s="88">
        <v>1525114</v>
      </c>
      <c r="M493" s="88">
        <v>0</v>
      </c>
      <c r="N493" s="88">
        <v>0</v>
      </c>
      <c r="O493" s="88">
        <f t="shared" si="145"/>
        <v>1525114</v>
      </c>
      <c r="P493" s="88">
        <v>0</v>
      </c>
      <c r="Q493" s="92">
        <f t="shared" si="146"/>
        <v>343.2313093576991</v>
      </c>
      <c r="R493" s="100">
        <v>6774</v>
      </c>
      <c r="S493" s="103">
        <v>42735</v>
      </c>
    </row>
    <row r="494" spans="1:19" s="20" customFormat="1" ht="15.75">
      <c r="A494" s="95">
        <f t="shared" si="135"/>
        <v>395</v>
      </c>
      <c r="B494" s="152" t="s">
        <v>528</v>
      </c>
      <c r="C494" s="91">
        <v>1989</v>
      </c>
      <c r="D494" s="91"/>
      <c r="E494" s="98" t="s">
        <v>144</v>
      </c>
      <c r="F494" s="105">
        <v>9</v>
      </c>
      <c r="G494" s="105">
        <v>2</v>
      </c>
      <c r="H494" s="92">
        <v>5120</v>
      </c>
      <c r="I494" s="92">
        <v>4431.8</v>
      </c>
      <c r="J494" s="92">
        <v>4312.7</v>
      </c>
      <c r="K494" s="93">
        <v>225</v>
      </c>
      <c r="L494" s="88">
        <v>1525114</v>
      </c>
      <c r="M494" s="88">
        <v>0</v>
      </c>
      <c r="N494" s="88">
        <v>0</v>
      </c>
      <c r="O494" s="88">
        <f t="shared" si="145"/>
        <v>1525114</v>
      </c>
      <c r="P494" s="88">
        <v>0</v>
      </c>
      <c r="Q494" s="92">
        <f t="shared" si="146"/>
        <v>344.12969899363691</v>
      </c>
      <c r="R494" s="100">
        <v>6774</v>
      </c>
      <c r="S494" s="103">
        <v>42735</v>
      </c>
    </row>
    <row r="495" spans="1:19" s="20" customFormat="1" ht="15.75">
      <c r="A495" s="95">
        <f t="shared" si="135"/>
        <v>396</v>
      </c>
      <c r="B495" s="152" t="s">
        <v>529</v>
      </c>
      <c r="C495" s="91">
        <v>1986</v>
      </c>
      <c r="D495" s="91"/>
      <c r="E495" s="98" t="s">
        <v>144</v>
      </c>
      <c r="F495" s="105">
        <v>9</v>
      </c>
      <c r="G495" s="105">
        <v>3</v>
      </c>
      <c r="H495" s="92">
        <v>7669.1</v>
      </c>
      <c r="I495" s="92">
        <v>6639.7</v>
      </c>
      <c r="J495" s="92">
        <v>6416.7</v>
      </c>
      <c r="K495" s="93">
        <v>299</v>
      </c>
      <c r="L495" s="88">
        <v>2315245</v>
      </c>
      <c r="M495" s="88">
        <v>0</v>
      </c>
      <c r="N495" s="88">
        <v>0</v>
      </c>
      <c r="O495" s="88">
        <f t="shared" si="145"/>
        <v>2315245</v>
      </c>
      <c r="P495" s="88">
        <v>0</v>
      </c>
      <c r="Q495" s="92">
        <f t="shared" si="146"/>
        <v>348.69723029654955</v>
      </c>
      <c r="R495" s="100">
        <v>6774</v>
      </c>
      <c r="S495" s="103">
        <v>42735</v>
      </c>
    </row>
    <row r="496" spans="1:19" s="20" customFormat="1" ht="15.75">
      <c r="A496" s="95">
        <f t="shared" si="135"/>
        <v>397</v>
      </c>
      <c r="B496" s="152" t="s">
        <v>535</v>
      </c>
      <c r="C496" s="105">
        <v>1980</v>
      </c>
      <c r="D496" s="105"/>
      <c r="E496" s="98" t="s">
        <v>144</v>
      </c>
      <c r="F496" s="105">
        <v>5</v>
      </c>
      <c r="G496" s="105">
        <v>4</v>
      </c>
      <c r="H496" s="94">
        <v>2274.8000000000002</v>
      </c>
      <c r="I496" s="94">
        <v>2056.4</v>
      </c>
      <c r="J496" s="94">
        <v>2056.4</v>
      </c>
      <c r="K496" s="106">
        <v>86</v>
      </c>
      <c r="L496" s="88">
        <v>1110120</v>
      </c>
      <c r="M496" s="88">
        <v>0</v>
      </c>
      <c r="N496" s="88">
        <v>0</v>
      </c>
      <c r="O496" s="88">
        <f t="shared" si="145"/>
        <v>1110120</v>
      </c>
      <c r="P496" s="88">
        <v>0</v>
      </c>
      <c r="Q496" s="92">
        <f t="shared" si="146"/>
        <v>539.83660766387857</v>
      </c>
      <c r="R496" s="100">
        <v>6774</v>
      </c>
      <c r="S496" s="103">
        <v>42735</v>
      </c>
    </row>
    <row r="497" spans="1:19" s="20" customFormat="1" ht="15.75">
      <c r="A497" s="95">
        <f t="shared" si="135"/>
        <v>398</v>
      </c>
      <c r="B497" s="152" t="s">
        <v>534</v>
      </c>
      <c r="C497" s="91">
        <v>1976</v>
      </c>
      <c r="D497" s="91"/>
      <c r="E497" s="98" t="s">
        <v>144</v>
      </c>
      <c r="F497" s="91">
        <v>5</v>
      </c>
      <c r="G497" s="91">
        <v>11</v>
      </c>
      <c r="H497" s="92">
        <v>6412.6</v>
      </c>
      <c r="I497" s="92">
        <v>5736.1</v>
      </c>
      <c r="J497" s="92">
        <v>5446.6</v>
      </c>
      <c r="K497" s="93">
        <v>284</v>
      </c>
      <c r="L497" s="88">
        <v>2970466</v>
      </c>
      <c r="M497" s="88">
        <v>0</v>
      </c>
      <c r="N497" s="88">
        <v>0</v>
      </c>
      <c r="O497" s="88">
        <f t="shared" si="145"/>
        <v>2970466</v>
      </c>
      <c r="P497" s="88">
        <v>0</v>
      </c>
      <c r="Q497" s="92">
        <f t="shared" si="146"/>
        <v>517.85463991213544</v>
      </c>
      <c r="R497" s="100">
        <v>6774</v>
      </c>
      <c r="S497" s="103">
        <v>42735</v>
      </c>
    </row>
    <row r="498" spans="1:19" s="31" customFormat="1" ht="15.75">
      <c r="A498" s="95"/>
      <c r="B498" s="300" t="s">
        <v>71</v>
      </c>
      <c r="C498" s="300"/>
      <c r="D498" s="300"/>
      <c r="E498" s="300"/>
      <c r="F498" s="300"/>
      <c r="G498" s="300"/>
      <c r="H498" s="94">
        <f>H499+H501</f>
        <v>5335.8</v>
      </c>
      <c r="I498" s="94">
        <f t="shared" ref="I498:P498" si="147">I499+I501</f>
        <v>4868.8999999999996</v>
      </c>
      <c r="J498" s="94">
        <f>J499+J501</f>
        <v>3638.1000000000004</v>
      </c>
      <c r="K498" s="106">
        <f>K499+K501</f>
        <v>154</v>
      </c>
      <c r="L498" s="88">
        <f>L499+L501</f>
        <v>2507155.0699999998</v>
      </c>
      <c r="M498" s="88">
        <f t="shared" si="147"/>
        <v>0</v>
      </c>
      <c r="N498" s="88">
        <f t="shared" si="147"/>
        <v>260236.27</v>
      </c>
      <c r="O498" s="88">
        <f>O499+O501</f>
        <v>2246918.7999999998</v>
      </c>
      <c r="P498" s="88">
        <f t="shared" si="147"/>
        <v>0</v>
      </c>
      <c r="Q498" s="100" t="s">
        <v>40</v>
      </c>
      <c r="R498" s="97" t="s">
        <v>40</v>
      </c>
      <c r="S498" s="97" t="s">
        <v>40</v>
      </c>
    </row>
    <row r="499" spans="1:19" s="1" customFormat="1" ht="15.75">
      <c r="A499" s="95"/>
      <c r="B499" s="300" t="s">
        <v>655</v>
      </c>
      <c r="C499" s="300"/>
      <c r="D499" s="300"/>
      <c r="E499" s="300"/>
      <c r="F499" s="300"/>
      <c r="G499" s="300"/>
      <c r="H499" s="94">
        <f>H500</f>
        <v>1507.8</v>
      </c>
      <c r="I499" s="94">
        <f t="shared" ref="I499:P499" si="148">I500</f>
        <v>1398.1</v>
      </c>
      <c r="J499" s="94">
        <f t="shared" si="148"/>
        <v>1200.7</v>
      </c>
      <c r="K499" s="106">
        <f t="shared" si="148"/>
        <v>62</v>
      </c>
      <c r="L499" s="88">
        <f>L500</f>
        <v>728197.07</v>
      </c>
      <c r="M499" s="88">
        <f t="shared" si="148"/>
        <v>0</v>
      </c>
      <c r="N499" s="88">
        <f t="shared" si="148"/>
        <v>260236.27</v>
      </c>
      <c r="O499" s="88">
        <f t="shared" si="148"/>
        <v>467960.8</v>
      </c>
      <c r="P499" s="88">
        <f t="shared" si="148"/>
        <v>0</v>
      </c>
      <c r="Q499" s="100" t="s">
        <v>40</v>
      </c>
      <c r="R499" s="97" t="s">
        <v>40</v>
      </c>
      <c r="S499" s="97" t="s">
        <v>40</v>
      </c>
    </row>
    <row r="500" spans="1:19" s="22" customFormat="1" ht="15.75">
      <c r="A500" s="95">
        <f>A497+1</f>
        <v>399</v>
      </c>
      <c r="B500" s="152" t="s">
        <v>536</v>
      </c>
      <c r="C500" s="105">
        <v>1983</v>
      </c>
      <c r="D500" s="189"/>
      <c r="E500" s="98" t="s">
        <v>144</v>
      </c>
      <c r="F500" s="105">
        <v>3</v>
      </c>
      <c r="G500" s="105">
        <v>3</v>
      </c>
      <c r="H500" s="94">
        <v>1507.8</v>
      </c>
      <c r="I500" s="94">
        <v>1398.1</v>
      </c>
      <c r="J500" s="94">
        <v>1200.7</v>
      </c>
      <c r="K500" s="106">
        <v>62</v>
      </c>
      <c r="L500" s="88">
        <v>728197.07</v>
      </c>
      <c r="M500" s="88">
        <v>0</v>
      </c>
      <c r="N500" s="88">
        <v>260236.27</v>
      </c>
      <c r="O500" s="88">
        <v>467960.8</v>
      </c>
      <c r="P500" s="88">
        <v>0</v>
      </c>
      <c r="Q500" s="94">
        <f>L500/I500</f>
        <v>520.84762892496963</v>
      </c>
      <c r="R500" s="100">
        <v>6774</v>
      </c>
      <c r="S500" s="103">
        <v>42643</v>
      </c>
    </row>
    <row r="501" spans="1:19" s="22" customFormat="1" ht="15.75">
      <c r="A501" s="95"/>
      <c r="B501" s="320" t="s">
        <v>656</v>
      </c>
      <c r="C501" s="320"/>
      <c r="D501" s="320"/>
      <c r="E501" s="320"/>
      <c r="F501" s="320"/>
      <c r="G501" s="320"/>
      <c r="H501" s="94">
        <f t="shared" ref="H501:M501" si="149">H502</f>
        <v>3828</v>
      </c>
      <c r="I501" s="94">
        <f t="shared" si="149"/>
        <v>3470.8</v>
      </c>
      <c r="J501" s="94">
        <f t="shared" si="149"/>
        <v>2437.4</v>
      </c>
      <c r="K501" s="106">
        <f t="shared" si="149"/>
        <v>92</v>
      </c>
      <c r="L501" s="88">
        <f t="shared" si="149"/>
        <v>1778958</v>
      </c>
      <c r="M501" s="88">
        <f t="shared" si="149"/>
        <v>0</v>
      </c>
      <c r="N501" s="88">
        <f t="shared" ref="N501:P501" si="150">N502</f>
        <v>0</v>
      </c>
      <c r="O501" s="88">
        <f t="shared" si="150"/>
        <v>1778958</v>
      </c>
      <c r="P501" s="88">
        <f t="shared" si="150"/>
        <v>0</v>
      </c>
      <c r="Q501" s="94" t="s">
        <v>40</v>
      </c>
      <c r="R501" s="97" t="s">
        <v>40</v>
      </c>
      <c r="S501" s="97" t="s">
        <v>40</v>
      </c>
    </row>
    <row r="502" spans="1:19" s="22" customFormat="1" ht="31.5">
      <c r="A502" s="95">
        <f>A500+1</f>
        <v>400</v>
      </c>
      <c r="B502" s="96" t="s">
        <v>537</v>
      </c>
      <c r="C502" s="95">
        <v>1973</v>
      </c>
      <c r="D502" s="95"/>
      <c r="E502" s="98" t="s">
        <v>143</v>
      </c>
      <c r="F502" s="95">
        <v>5</v>
      </c>
      <c r="G502" s="95">
        <v>4</v>
      </c>
      <c r="H502" s="102">
        <v>3828</v>
      </c>
      <c r="I502" s="102">
        <v>3470.8</v>
      </c>
      <c r="J502" s="102">
        <v>2437.4</v>
      </c>
      <c r="K502" s="141">
        <v>92</v>
      </c>
      <c r="L502" s="88">
        <v>1778958</v>
      </c>
      <c r="M502" s="88">
        <v>0</v>
      </c>
      <c r="N502" s="88">
        <v>0</v>
      </c>
      <c r="O502" s="88">
        <f>L502</f>
        <v>1778958</v>
      </c>
      <c r="P502" s="88">
        <v>0</v>
      </c>
      <c r="Q502" s="102">
        <f>L502/I502</f>
        <v>512.54984441627289</v>
      </c>
      <c r="R502" s="100">
        <v>6774</v>
      </c>
      <c r="S502" s="103">
        <v>42735</v>
      </c>
    </row>
    <row r="503" spans="1:19" s="22" customFormat="1" ht="21.75" customHeight="1">
      <c r="A503" s="296" t="s">
        <v>127</v>
      </c>
      <c r="B503" s="296"/>
      <c r="C503" s="296"/>
      <c r="D503" s="296"/>
      <c r="E503" s="296"/>
      <c r="F503" s="296"/>
      <c r="G503" s="296"/>
      <c r="H503" s="296"/>
      <c r="I503" s="296"/>
      <c r="J503" s="296"/>
      <c r="K503" s="296"/>
      <c r="L503" s="296"/>
      <c r="M503" s="296"/>
      <c r="N503" s="296"/>
      <c r="O503" s="296"/>
      <c r="P503" s="296"/>
      <c r="Q503" s="296"/>
      <c r="R503" s="296"/>
      <c r="S503" s="296"/>
    </row>
    <row r="504" spans="1:19" s="22" customFormat="1" ht="19.5" customHeight="1">
      <c r="A504" s="95"/>
      <c r="B504" s="295" t="s">
        <v>126</v>
      </c>
      <c r="C504" s="295"/>
      <c r="D504" s="295"/>
      <c r="E504" s="295"/>
      <c r="F504" s="295"/>
      <c r="G504" s="295"/>
      <c r="H504" s="102">
        <f>H506+H515</f>
        <v>69485.300000000017</v>
      </c>
      <c r="I504" s="102">
        <f t="shared" ref="I504:P504" si="151">I506+I515</f>
        <v>49722.3</v>
      </c>
      <c r="J504" s="102">
        <f t="shared" si="151"/>
        <v>49252.899999999994</v>
      </c>
      <c r="K504" s="141">
        <f t="shared" si="151"/>
        <v>2635</v>
      </c>
      <c r="L504" s="88">
        <f t="shared" si="151"/>
        <v>8340373.6400000006</v>
      </c>
      <c r="M504" s="88">
        <f t="shared" si="151"/>
        <v>0</v>
      </c>
      <c r="N504" s="88">
        <f t="shared" si="151"/>
        <v>1441226</v>
      </c>
      <c r="O504" s="88">
        <f t="shared" si="151"/>
        <v>6899147.6400000006</v>
      </c>
      <c r="P504" s="88">
        <f t="shared" si="151"/>
        <v>0</v>
      </c>
      <c r="Q504" s="100" t="s">
        <v>40</v>
      </c>
      <c r="R504" s="97" t="s">
        <v>40</v>
      </c>
      <c r="S504" s="97" t="s">
        <v>40</v>
      </c>
    </row>
    <row r="505" spans="1:19" s="1" customFormat="1" ht="21.75" customHeight="1">
      <c r="A505" s="296" t="s">
        <v>35</v>
      </c>
      <c r="B505" s="296"/>
      <c r="C505" s="296"/>
      <c r="D505" s="296"/>
      <c r="E505" s="296"/>
      <c r="F505" s="296"/>
      <c r="G505" s="296"/>
      <c r="H505" s="296"/>
      <c r="I505" s="296"/>
      <c r="J505" s="296"/>
      <c r="K505" s="296"/>
      <c r="L505" s="296"/>
      <c r="M505" s="296"/>
      <c r="N505" s="296"/>
      <c r="O505" s="296"/>
      <c r="P505" s="296"/>
      <c r="Q505" s="296"/>
      <c r="R505" s="296"/>
      <c r="S505" s="296"/>
    </row>
    <row r="506" spans="1:19" s="1" customFormat="1" ht="21.75" customHeight="1">
      <c r="A506" s="91"/>
      <c r="B506" s="295" t="s">
        <v>20</v>
      </c>
      <c r="C506" s="295"/>
      <c r="D506" s="295"/>
      <c r="E506" s="295"/>
      <c r="F506" s="295"/>
      <c r="G506" s="295"/>
      <c r="H506" s="100">
        <f>H507</f>
        <v>23801.1</v>
      </c>
      <c r="I506" s="100">
        <f t="shared" ref="I506:J506" si="152">I507</f>
        <v>20069.3</v>
      </c>
      <c r="J506" s="100">
        <f t="shared" si="152"/>
        <v>20069.3</v>
      </c>
      <c r="K506" s="101">
        <f>K507</f>
        <v>702</v>
      </c>
      <c r="L506" s="88">
        <f>L507</f>
        <v>2447351.64</v>
      </c>
      <c r="M506" s="88">
        <f t="shared" ref="M506:P506" si="153">M507</f>
        <v>0</v>
      </c>
      <c r="N506" s="88">
        <f t="shared" si="153"/>
        <v>0</v>
      </c>
      <c r="O506" s="88">
        <f t="shared" si="153"/>
        <v>2447351.64</v>
      </c>
      <c r="P506" s="88">
        <f t="shared" si="153"/>
        <v>0</v>
      </c>
      <c r="Q506" s="100" t="s">
        <v>40</v>
      </c>
      <c r="R506" s="97" t="s">
        <v>40</v>
      </c>
      <c r="S506" s="97" t="s">
        <v>40</v>
      </c>
    </row>
    <row r="507" spans="1:19" s="32" customFormat="1" ht="15.75" customHeight="1">
      <c r="A507" s="85"/>
      <c r="B507" s="295" t="s">
        <v>58</v>
      </c>
      <c r="C507" s="295"/>
      <c r="D507" s="295"/>
      <c r="E507" s="295"/>
      <c r="F507" s="295"/>
      <c r="G507" s="295"/>
      <c r="H507" s="100">
        <f>H508</f>
        <v>23801.1</v>
      </c>
      <c r="I507" s="100">
        <f t="shared" ref="I507:P507" si="154">I508</f>
        <v>20069.3</v>
      </c>
      <c r="J507" s="100">
        <f t="shared" si="154"/>
        <v>20069.3</v>
      </c>
      <c r="K507" s="101">
        <f t="shared" si="154"/>
        <v>702</v>
      </c>
      <c r="L507" s="88">
        <f t="shared" si="154"/>
        <v>2447351.64</v>
      </c>
      <c r="M507" s="88">
        <f t="shared" si="154"/>
        <v>0</v>
      </c>
      <c r="N507" s="88">
        <f t="shared" si="154"/>
        <v>0</v>
      </c>
      <c r="O507" s="88">
        <f t="shared" si="154"/>
        <v>2447351.64</v>
      </c>
      <c r="P507" s="88">
        <f t="shared" si="154"/>
        <v>0</v>
      </c>
      <c r="Q507" s="100" t="s">
        <v>40</v>
      </c>
      <c r="R507" s="97" t="s">
        <v>40</v>
      </c>
      <c r="S507" s="97" t="s">
        <v>40</v>
      </c>
    </row>
    <row r="508" spans="1:19" s="32" customFormat="1" ht="15.75" customHeight="1">
      <c r="A508" s="85"/>
      <c r="B508" s="295" t="s">
        <v>632</v>
      </c>
      <c r="C508" s="295"/>
      <c r="D508" s="295"/>
      <c r="E508" s="295"/>
      <c r="F508" s="295"/>
      <c r="G508" s="295"/>
      <c r="H508" s="100">
        <f t="shared" ref="H508:P508" si="155">SUM(H509:H513)</f>
        <v>23801.1</v>
      </c>
      <c r="I508" s="100">
        <f t="shared" si="155"/>
        <v>20069.3</v>
      </c>
      <c r="J508" s="100">
        <f t="shared" si="155"/>
        <v>20069.3</v>
      </c>
      <c r="K508" s="101">
        <f t="shared" si="155"/>
        <v>702</v>
      </c>
      <c r="L508" s="88">
        <f t="shared" si="155"/>
        <v>2447351.64</v>
      </c>
      <c r="M508" s="88">
        <f t="shared" si="155"/>
        <v>0</v>
      </c>
      <c r="N508" s="88">
        <f t="shared" si="155"/>
        <v>0</v>
      </c>
      <c r="O508" s="88">
        <f t="shared" si="155"/>
        <v>2447351.64</v>
      </c>
      <c r="P508" s="88">
        <f t="shared" si="155"/>
        <v>0</v>
      </c>
      <c r="Q508" s="100" t="s">
        <v>40</v>
      </c>
      <c r="R508" s="97" t="s">
        <v>40</v>
      </c>
      <c r="S508" s="97" t="s">
        <v>40</v>
      </c>
    </row>
    <row r="509" spans="1:19" s="28" customFormat="1" ht="15.75">
      <c r="A509" s="91">
        <f>A502+1</f>
        <v>401</v>
      </c>
      <c r="B509" s="190" t="s">
        <v>301</v>
      </c>
      <c r="C509" s="191">
        <v>1975</v>
      </c>
      <c r="D509" s="116"/>
      <c r="E509" s="98" t="s">
        <v>144</v>
      </c>
      <c r="F509" s="85">
        <v>5</v>
      </c>
      <c r="G509" s="85">
        <v>4</v>
      </c>
      <c r="H509" s="86">
        <f>2075.9+150</f>
        <v>2225.9</v>
      </c>
      <c r="I509" s="86">
        <v>2075.9</v>
      </c>
      <c r="J509" s="86">
        <v>2075.9</v>
      </c>
      <c r="K509" s="87">
        <v>112</v>
      </c>
      <c r="L509" s="88">
        <v>203849</v>
      </c>
      <c r="M509" s="88">
        <v>0</v>
      </c>
      <c r="N509" s="88">
        <v>0</v>
      </c>
      <c r="O509" s="88">
        <f>L509</f>
        <v>203849</v>
      </c>
      <c r="P509" s="88">
        <v>0</v>
      </c>
      <c r="Q509" s="100">
        <f>L509/I509</f>
        <v>98.197890071776087</v>
      </c>
      <c r="R509" s="100">
        <v>6774</v>
      </c>
      <c r="S509" s="103">
        <v>42735</v>
      </c>
    </row>
    <row r="510" spans="1:19" s="28" customFormat="1" ht="15.75">
      <c r="A510" s="91">
        <f>A509+1</f>
        <v>402</v>
      </c>
      <c r="B510" s="190" t="s">
        <v>302</v>
      </c>
      <c r="C510" s="191">
        <v>1991</v>
      </c>
      <c r="D510" s="116"/>
      <c r="E510" s="98" t="s">
        <v>144</v>
      </c>
      <c r="F510" s="85">
        <v>9</v>
      </c>
      <c r="G510" s="85">
        <v>2</v>
      </c>
      <c r="H510" s="86">
        <f>4259.3+1200.8</f>
        <v>5460.1</v>
      </c>
      <c r="I510" s="86">
        <v>4259.3</v>
      </c>
      <c r="J510" s="86">
        <v>4259.3</v>
      </c>
      <c r="K510" s="87">
        <v>132</v>
      </c>
      <c r="L510" s="88">
        <v>489343.64</v>
      </c>
      <c r="M510" s="88">
        <v>0</v>
      </c>
      <c r="N510" s="88">
        <v>0</v>
      </c>
      <c r="O510" s="88">
        <f>L510</f>
        <v>489343.64</v>
      </c>
      <c r="P510" s="88">
        <v>0</v>
      </c>
      <c r="Q510" s="100">
        <f>L510/I510</f>
        <v>114.88827741647688</v>
      </c>
      <c r="R510" s="100">
        <v>6774</v>
      </c>
      <c r="S510" s="103">
        <v>42735</v>
      </c>
    </row>
    <row r="511" spans="1:19" s="28" customFormat="1" ht="15.75">
      <c r="A511" s="91">
        <f t="shared" ref="A511:A513" si="156">A510+1</f>
        <v>403</v>
      </c>
      <c r="B511" s="190" t="s">
        <v>539</v>
      </c>
      <c r="C511" s="191">
        <v>1978</v>
      </c>
      <c r="D511" s="116"/>
      <c r="E511" s="98" t="s">
        <v>144</v>
      </c>
      <c r="F511" s="85">
        <v>5</v>
      </c>
      <c r="G511" s="85">
        <v>6</v>
      </c>
      <c r="H511" s="86">
        <v>6071.5</v>
      </c>
      <c r="I511" s="86">
        <v>4592.3</v>
      </c>
      <c r="J511" s="86">
        <v>4592.3</v>
      </c>
      <c r="K511" s="87">
        <v>181</v>
      </c>
      <c r="L511" s="88">
        <v>395010</v>
      </c>
      <c r="M511" s="88">
        <v>0</v>
      </c>
      <c r="N511" s="88">
        <v>0</v>
      </c>
      <c r="O511" s="88">
        <f>L511</f>
        <v>395010</v>
      </c>
      <c r="P511" s="88">
        <v>0</v>
      </c>
      <c r="Q511" s="100">
        <f>L511/I511</f>
        <v>86.015721969383534</v>
      </c>
      <c r="R511" s="100">
        <v>6774</v>
      </c>
      <c r="S511" s="103">
        <v>42735</v>
      </c>
    </row>
    <row r="512" spans="1:19" s="28" customFormat="1" ht="15.75">
      <c r="A512" s="91">
        <f t="shared" si="156"/>
        <v>404</v>
      </c>
      <c r="B512" s="190" t="s">
        <v>538</v>
      </c>
      <c r="C512" s="191">
        <v>1980</v>
      </c>
      <c r="D512" s="116"/>
      <c r="E512" s="98" t="s">
        <v>144</v>
      </c>
      <c r="F512" s="85">
        <v>5</v>
      </c>
      <c r="G512" s="85">
        <v>6</v>
      </c>
      <c r="H512" s="86">
        <f>493.2+4644.3</f>
        <v>5137.5</v>
      </c>
      <c r="I512" s="86">
        <v>4644.3</v>
      </c>
      <c r="J512" s="86">
        <v>4644.3</v>
      </c>
      <c r="K512" s="87">
        <v>177</v>
      </c>
      <c r="L512" s="88">
        <v>285326</v>
      </c>
      <c r="M512" s="88">
        <v>0</v>
      </c>
      <c r="N512" s="88">
        <v>0</v>
      </c>
      <c r="O512" s="88">
        <f>L512</f>
        <v>285326</v>
      </c>
      <c r="P512" s="88">
        <v>0</v>
      </c>
      <c r="Q512" s="100">
        <f>L512/I512</f>
        <v>61.435738432056496</v>
      </c>
      <c r="R512" s="100">
        <v>6774</v>
      </c>
      <c r="S512" s="103">
        <v>42735</v>
      </c>
    </row>
    <row r="513" spans="1:19" s="28" customFormat="1" ht="31.5">
      <c r="A513" s="91">
        <f t="shared" si="156"/>
        <v>405</v>
      </c>
      <c r="B513" s="190" t="s">
        <v>300</v>
      </c>
      <c r="C513" s="191">
        <v>1973</v>
      </c>
      <c r="D513" s="116"/>
      <c r="E513" s="98" t="s">
        <v>143</v>
      </c>
      <c r="F513" s="85">
        <v>5</v>
      </c>
      <c r="G513" s="85">
        <v>6</v>
      </c>
      <c r="H513" s="86">
        <v>4906.1000000000004</v>
      </c>
      <c r="I513" s="86">
        <v>4497.5</v>
      </c>
      <c r="J513" s="86">
        <v>4497.5</v>
      </c>
      <c r="K513" s="87">
        <v>100</v>
      </c>
      <c r="L513" s="88">
        <v>1073823</v>
      </c>
      <c r="M513" s="88">
        <v>0</v>
      </c>
      <c r="N513" s="88">
        <v>0</v>
      </c>
      <c r="O513" s="88">
        <f>L513</f>
        <v>1073823</v>
      </c>
      <c r="P513" s="88">
        <v>0</v>
      </c>
      <c r="Q513" s="100">
        <f>L513/I513</f>
        <v>238.75997776542525</v>
      </c>
      <c r="R513" s="100">
        <v>6774</v>
      </c>
      <c r="S513" s="103">
        <v>42735</v>
      </c>
    </row>
    <row r="514" spans="1:19" s="1" customFormat="1" ht="34.5" customHeight="1">
      <c r="A514" s="296" t="s">
        <v>37</v>
      </c>
      <c r="B514" s="296"/>
      <c r="C514" s="296"/>
      <c r="D514" s="296"/>
      <c r="E514" s="296"/>
      <c r="F514" s="296"/>
      <c r="G514" s="296"/>
      <c r="H514" s="296"/>
      <c r="I514" s="296"/>
      <c r="J514" s="296"/>
      <c r="K514" s="296"/>
      <c r="L514" s="296"/>
      <c r="M514" s="296"/>
      <c r="N514" s="296"/>
      <c r="O514" s="296"/>
      <c r="P514" s="296"/>
      <c r="Q514" s="296"/>
      <c r="R514" s="296"/>
      <c r="S514" s="296"/>
    </row>
    <row r="515" spans="1:19" s="1" customFormat="1" ht="15.75">
      <c r="A515" s="91"/>
      <c r="B515" s="295" t="s">
        <v>20</v>
      </c>
      <c r="C515" s="295"/>
      <c r="D515" s="295"/>
      <c r="E515" s="295"/>
      <c r="F515" s="295"/>
      <c r="G515" s="295"/>
      <c r="H515" s="100">
        <f>H516+H519</f>
        <v>45684.200000000012</v>
      </c>
      <c r="I515" s="100">
        <f t="shared" ref="I515:L515" si="157">I516+I519</f>
        <v>29653</v>
      </c>
      <c r="J515" s="100">
        <f t="shared" si="157"/>
        <v>29183.599999999999</v>
      </c>
      <c r="K515" s="101">
        <f>K516+K519</f>
        <v>1933</v>
      </c>
      <c r="L515" s="88">
        <f t="shared" si="157"/>
        <v>5893022</v>
      </c>
      <c r="M515" s="88">
        <f t="shared" ref="M515" si="158">M516+M519</f>
        <v>0</v>
      </c>
      <c r="N515" s="88">
        <f t="shared" ref="N515" si="159">N516+N519</f>
        <v>1441226</v>
      </c>
      <c r="O515" s="88">
        <f t="shared" ref="O515" si="160">O516+O519</f>
        <v>4451796</v>
      </c>
      <c r="P515" s="88">
        <f t="shared" ref="P515" si="161">P516+P519</f>
        <v>0</v>
      </c>
      <c r="Q515" s="100" t="s">
        <v>40</v>
      </c>
      <c r="R515" s="97" t="s">
        <v>40</v>
      </c>
      <c r="S515" s="97" t="s">
        <v>40</v>
      </c>
    </row>
    <row r="516" spans="1:19" s="1" customFormat="1" ht="15.75" customHeight="1">
      <c r="A516" s="91"/>
      <c r="B516" s="294" t="s">
        <v>63</v>
      </c>
      <c r="C516" s="294"/>
      <c r="D516" s="294"/>
      <c r="E516" s="294"/>
      <c r="F516" s="294"/>
      <c r="G516" s="294"/>
      <c r="H516" s="92">
        <f>H517</f>
        <v>2121.5</v>
      </c>
      <c r="I516" s="92">
        <f t="shared" ref="I516:P516" si="162">I517</f>
        <v>1804.4</v>
      </c>
      <c r="J516" s="92">
        <f t="shared" si="162"/>
        <v>1335</v>
      </c>
      <c r="K516" s="93">
        <f t="shared" si="162"/>
        <v>48</v>
      </c>
      <c r="L516" s="88">
        <f t="shared" si="162"/>
        <v>215709</v>
      </c>
      <c r="M516" s="88">
        <f t="shared" si="162"/>
        <v>0</v>
      </c>
      <c r="N516" s="88">
        <f t="shared" si="162"/>
        <v>0</v>
      </c>
      <c r="O516" s="88">
        <f t="shared" si="162"/>
        <v>215709</v>
      </c>
      <c r="P516" s="88">
        <f t="shared" si="162"/>
        <v>0</v>
      </c>
      <c r="Q516" s="92" t="str">
        <f>Q517</f>
        <v>Х</v>
      </c>
      <c r="R516" s="92" t="str">
        <f t="shared" ref="R516" si="163">R517</f>
        <v>Х</v>
      </c>
      <c r="S516" s="92" t="str">
        <f t="shared" ref="S516" si="164">S517</f>
        <v>Х</v>
      </c>
    </row>
    <row r="517" spans="1:19" s="1" customFormat="1" ht="15.75" customHeight="1">
      <c r="A517" s="91"/>
      <c r="B517" s="294" t="s">
        <v>645</v>
      </c>
      <c r="C517" s="294"/>
      <c r="D517" s="294"/>
      <c r="E517" s="294"/>
      <c r="F517" s="294"/>
      <c r="G517" s="294"/>
      <c r="H517" s="92">
        <f>H518</f>
        <v>2121.5</v>
      </c>
      <c r="I517" s="92">
        <f t="shared" ref="I517:N517" si="165">I518</f>
        <v>1804.4</v>
      </c>
      <c r="J517" s="92">
        <f t="shared" si="165"/>
        <v>1335</v>
      </c>
      <c r="K517" s="93">
        <f t="shared" si="165"/>
        <v>48</v>
      </c>
      <c r="L517" s="88">
        <f>L518</f>
        <v>215709</v>
      </c>
      <c r="M517" s="88">
        <f t="shared" si="165"/>
        <v>0</v>
      </c>
      <c r="N517" s="88">
        <f t="shared" si="165"/>
        <v>0</v>
      </c>
      <c r="O517" s="88">
        <f>L517</f>
        <v>215709</v>
      </c>
      <c r="P517" s="88">
        <v>0</v>
      </c>
      <c r="Q517" s="92" t="s">
        <v>40</v>
      </c>
      <c r="R517" s="91" t="s">
        <v>40</v>
      </c>
      <c r="S517" s="91" t="s">
        <v>40</v>
      </c>
    </row>
    <row r="518" spans="1:19" s="1" customFormat="1" ht="31.5">
      <c r="A518" s="91">
        <f>A513+1</f>
        <v>406</v>
      </c>
      <c r="B518" s="142" t="s">
        <v>540</v>
      </c>
      <c r="C518" s="85">
        <v>1959</v>
      </c>
      <c r="D518" s="98"/>
      <c r="E518" s="98" t="s">
        <v>143</v>
      </c>
      <c r="F518" s="192" t="s">
        <v>101</v>
      </c>
      <c r="G518" s="192" t="s">
        <v>102</v>
      </c>
      <c r="H518" s="86">
        <v>2121.5</v>
      </c>
      <c r="I518" s="86">
        <v>1804.4</v>
      </c>
      <c r="J518" s="86">
        <f>1379-44</f>
        <v>1335</v>
      </c>
      <c r="K518" s="87">
        <v>48</v>
      </c>
      <c r="L518" s="88">
        <v>215709</v>
      </c>
      <c r="M518" s="88">
        <v>0</v>
      </c>
      <c r="N518" s="88">
        <v>0</v>
      </c>
      <c r="O518" s="88">
        <f>L518</f>
        <v>215709</v>
      </c>
      <c r="P518" s="88">
        <v>0</v>
      </c>
      <c r="Q518" s="86">
        <f>L518/I518</f>
        <v>119.54610951008645</v>
      </c>
      <c r="R518" s="100">
        <v>6774</v>
      </c>
      <c r="S518" s="103">
        <v>42735</v>
      </c>
    </row>
    <row r="519" spans="1:19" s="1" customFormat="1" ht="15.75" customHeight="1">
      <c r="A519" s="91"/>
      <c r="B519" s="294" t="s">
        <v>64</v>
      </c>
      <c r="C519" s="294"/>
      <c r="D519" s="294"/>
      <c r="E519" s="294"/>
      <c r="F519" s="294"/>
      <c r="G519" s="294"/>
      <c r="H519" s="92">
        <f>H520+H575</f>
        <v>43562.700000000012</v>
      </c>
      <c r="I519" s="92">
        <f t="shared" ref="I519:P519" si="166">I520+I575</f>
        <v>27848.6</v>
      </c>
      <c r="J519" s="92">
        <f t="shared" si="166"/>
        <v>27848.6</v>
      </c>
      <c r="K519" s="93">
        <f t="shared" si="166"/>
        <v>1885</v>
      </c>
      <c r="L519" s="88">
        <f t="shared" si="166"/>
        <v>5677313</v>
      </c>
      <c r="M519" s="88">
        <f t="shared" si="166"/>
        <v>0</v>
      </c>
      <c r="N519" s="88">
        <f t="shared" si="166"/>
        <v>1441226</v>
      </c>
      <c r="O519" s="88">
        <f t="shared" si="166"/>
        <v>4236087</v>
      </c>
      <c r="P519" s="88">
        <f t="shared" si="166"/>
        <v>0</v>
      </c>
      <c r="Q519" s="92" t="str">
        <f>Q520</f>
        <v>Х</v>
      </c>
      <c r="R519" s="92" t="str">
        <f t="shared" ref="R519:S519" si="167">R520</f>
        <v>Х</v>
      </c>
      <c r="S519" s="92" t="str">
        <f t="shared" si="167"/>
        <v>Х</v>
      </c>
    </row>
    <row r="520" spans="1:19" s="1" customFormat="1" ht="15.75" customHeight="1">
      <c r="A520" s="95"/>
      <c r="B520" s="295" t="s">
        <v>657</v>
      </c>
      <c r="C520" s="295"/>
      <c r="D520" s="295"/>
      <c r="E520" s="295"/>
      <c r="F520" s="295"/>
      <c r="G520" s="295"/>
      <c r="H520" s="92">
        <f>SUM(H521:H574)</f>
        <v>40440.30000000001</v>
      </c>
      <c r="I520" s="92">
        <f>SUM(I521:I574)</f>
        <v>24966.499999999996</v>
      </c>
      <c r="J520" s="92">
        <f>SUM(J521:J574)</f>
        <v>24966.499999999996</v>
      </c>
      <c r="K520" s="101">
        <f t="shared" ref="K520" si="168">SUM(K521:K574)</f>
        <v>1788</v>
      </c>
      <c r="L520" s="88">
        <f>SUM(L521:L574)</f>
        <v>4240489</v>
      </c>
      <c r="M520" s="88">
        <f t="shared" ref="M520:O520" si="169">SUM(M521:M574)</f>
        <v>0</v>
      </c>
      <c r="N520" s="88">
        <f t="shared" si="169"/>
        <v>1020578</v>
      </c>
      <c r="O520" s="88">
        <f t="shared" si="169"/>
        <v>3219911</v>
      </c>
      <c r="P520" s="88">
        <v>0</v>
      </c>
      <c r="Q520" s="92" t="s">
        <v>40</v>
      </c>
      <c r="R520" s="91" t="s">
        <v>40</v>
      </c>
      <c r="S520" s="91" t="s">
        <v>40</v>
      </c>
    </row>
    <row r="521" spans="1:19" s="1" customFormat="1" ht="31.5">
      <c r="A521" s="91">
        <f>A518+1</f>
        <v>407</v>
      </c>
      <c r="B521" s="142" t="s">
        <v>333</v>
      </c>
      <c r="C521" s="172">
        <v>1965</v>
      </c>
      <c r="D521" s="172"/>
      <c r="E521" s="98" t="s">
        <v>143</v>
      </c>
      <c r="F521" s="172">
        <v>2</v>
      </c>
      <c r="G521" s="172">
        <v>2</v>
      </c>
      <c r="H521" s="92">
        <v>536.70000000000005</v>
      </c>
      <c r="I521" s="92">
        <v>297.5</v>
      </c>
      <c r="J521" s="92">
        <v>297.5</v>
      </c>
      <c r="K521" s="172">
        <v>20</v>
      </c>
      <c r="L521" s="88">
        <v>26937</v>
      </c>
      <c r="M521" s="88">
        <v>0</v>
      </c>
      <c r="N521" s="88">
        <v>8081</v>
      </c>
      <c r="O521" s="88">
        <v>18856</v>
      </c>
      <c r="P521" s="88">
        <v>0</v>
      </c>
      <c r="Q521" s="92">
        <v>91</v>
      </c>
      <c r="R521" s="100">
        <v>6774</v>
      </c>
      <c r="S521" s="103">
        <v>42735</v>
      </c>
    </row>
    <row r="522" spans="1:19" s="1" customFormat="1" ht="31.5">
      <c r="A522" s="91">
        <f>A521+1</f>
        <v>408</v>
      </c>
      <c r="B522" s="142" t="s">
        <v>310</v>
      </c>
      <c r="C522" s="172">
        <v>1988</v>
      </c>
      <c r="D522" s="172"/>
      <c r="E522" s="98" t="s">
        <v>143</v>
      </c>
      <c r="F522" s="172">
        <v>5</v>
      </c>
      <c r="G522" s="172">
        <v>4</v>
      </c>
      <c r="H522" s="92">
        <v>2534.8000000000002</v>
      </c>
      <c r="I522" s="92">
        <v>1517.1</v>
      </c>
      <c r="J522" s="92">
        <v>1517.1</v>
      </c>
      <c r="K522" s="172">
        <v>137</v>
      </c>
      <c r="L522" s="88">
        <v>367511</v>
      </c>
      <c r="M522" s="88">
        <v>0</v>
      </c>
      <c r="N522" s="88">
        <v>110253</v>
      </c>
      <c r="O522" s="88">
        <v>257258</v>
      </c>
      <c r="P522" s="88">
        <v>0</v>
      </c>
      <c r="Q522" s="92">
        <v>243</v>
      </c>
      <c r="R522" s="100">
        <v>6774</v>
      </c>
      <c r="S522" s="103">
        <v>42735</v>
      </c>
    </row>
    <row r="523" spans="1:19" s="1" customFormat="1" ht="31.5">
      <c r="A523" s="91">
        <f t="shared" ref="A523:A580" si="170">A522+1</f>
        <v>409</v>
      </c>
      <c r="B523" s="171" t="s">
        <v>344</v>
      </c>
      <c r="C523" s="172">
        <v>1991</v>
      </c>
      <c r="D523" s="172"/>
      <c r="E523" s="98" t="s">
        <v>143</v>
      </c>
      <c r="F523" s="172">
        <v>5</v>
      </c>
      <c r="G523" s="172">
        <v>4</v>
      </c>
      <c r="H523" s="92">
        <v>2773.4</v>
      </c>
      <c r="I523" s="92">
        <v>1664.5</v>
      </c>
      <c r="J523" s="92">
        <v>1664.5</v>
      </c>
      <c r="K523" s="172">
        <v>113</v>
      </c>
      <c r="L523" s="88">
        <v>149481</v>
      </c>
      <c r="M523" s="88">
        <v>0</v>
      </c>
      <c r="N523" s="88">
        <v>44844</v>
      </c>
      <c r="O523" s="88">
        <v>104637</v>
      </c>
      <c r="P523" s="88">
        <v>0</v>
      </c>
      <c r="Q523" s="92">
        <v>90</v>
      </c>
      <c r="R523" s="100">
        <v>6774</v>
      </c>
      <c r="S523" s="103">
        <v>42735</v>
      </c>
    </row>
    <row r="524" spans="1:19" s="1" customFormat="1" ht="31.5">
      <c r="A524" s="91">
        <f t="shared" si="170"/>
        <v>410</v>
      </c>
      <c r="B524" s="142" t="s">
        <v>548</v>
      </c>
      <c r="C524" s="172">
        <v>1975</v>
      </c>
      <c r="D524" s="172"/>
      <c r="E524" s="98" t="s">
        <v>143</v>
      </c>
      <c r="F524" s="172">
        <v>2</v>
      </c>
      <c r="G524" s="172">
        <v>2</v>
      </c>
      <c r="H524" s="92">
        <v>743.2</v>
      </c>
      <c r="I524" s="92">
        <v>472.1</v>
      </c>
      <c r="J524" s="92">
        <v>472.1</v>
      </c>
      <c r="K524" s="172">
        <v>31</v>
      </c>
      <c r="L524" s="88">
        <v>26122</v>
      </c>
      <c r="M524" s="88">
        <v>0</v>
      </c>
      <c r="N524" s="88">
        <v>2612</v>
      </c>
      <c r="O524" s="88">
        <v>23510</v>
      </c>
      <c r="P524" s="88">
        <v>0</v>
      </c>
      <c r="Q524" s="92">
        <v>56</v>
      </c>
      <c r="R524" s="100">
        <v>6774</v>
      </c>
      <c r="S524" s="103">
        <v>42735</v>
      </c>
    </row>
    <row r="525" spans="1:19" s="1" customFormat="1" ht="31.5">
      <c r="A525" s="91">
        <f t="shared" si="170"/>
        <v>411</v>
      </c>
      <c r="B525" s="142" t="s">
        <v>549</v>
      </c>
      <c r="C525" s="172">
        <v>1973</v>
      </c>
      <c r="D525" s="172"/>
      <c r="E525" s="98" t="s">
        <v>143</v>
      </c>
      <c r="F525" s="172">
        <v>2</v>
      </c>
      <c r="G525" s="172">
        <v>2</v>
      </c>
      <c r="H525" s="92">
        <v>371.8</v>
      </c>
      <c r="I525" s="92">
        <v>215</v>
      </c>
      <c r="J525" s="92">
        <v>215</v>
      </c>
      <c r="K525" s="172">
        <v>15</v>
      </c>
      <c r="L525" s="88">
        <v>41000</v>
      </c>
      <c r="M525" s="88">
        <v>0</v>
      </c>
      <c r="N525" s="88">
        <v>12300</v>
      </c>
      <c r="O525" s="88">
        <v>28700</v>
      </c>
      <c r="P525" s="88">
        <v>0</v>
      </c>
      <c r="Q525" s="92">
        <v>190</v>
      </c>
      <c r="R525" s="100">
        <v>6774</v>
      </c>
      <c r="S525" s="103">
        <v>42735</v>
      </c>
    </row>
    <row r="526" spans="1:19" s="1" customFormat="1" ht="31.5">
      <c r="A526" s="91">
        <f t="shared" si="170"/>
        <v>412</v>
      </c>
      <c r="B526" s="142" t="s">
        <v>321</v>
      </c>
      <c r="C526" s="172">
        <v>1979</v>
      </c>
      <c r="D526" s="172"/>
      <c r="E526" s="98" t="s">
        <v>143</v>
      </c>
      <c r="F526" s="172" t="s">
        <v>78</v>
      </c>
      <c r="G526" s="172" t="s">
        <v>89</v>
      </c>
      <c r="H526" s="92" t="s">
        <v>90</v>
      </c>
      <c r="I526" s="92">
        <v>283</v>
      </c>
      <c r="J526" s="92">
        <v>283</v>
      </c>
      <c r="K526" s="172" t="s">
        <v>91</v>
      </c>
      <c r="L526" s="88">
        <v>8123</v>
      </c>
      <c r="M526" s="88">
        <v>0</v>
      </c>
      <c r="N526" s="88">
        <v>812</v>
      </c>
      <c r="O526" s="88">
        <v>7311</v>
      </c>
      <c r="P526" s="88">
        <v>0</v>
      </c>
      <c r="Q526" s="92" t="s">
        <v>92</v>
      </c>
      <c r="R526" s="100">
        <v>6774</v>
      </c>
      <c r="S526" s="103">
        <v>42735</v>
      </c>
    </row>
    <row r="527" spans="1:19" s="1" customFormat="1" ht="31.5">
      <c r="A527" s="91">
        <f t="shared" si="170"/>
        <v>413</v>
      </c>
      <c r="B527" s="142" t="s">
        <v>329</v>
      </c>
      <c r="C527" s="172">
        <v>1983</v>
      </c>
      <c r="D527" s="172"/>
      <c r="E527" s="98" t="s">
        <v>143</v>
      </c>
      <c r="F527" s="172">
        <v>2</v>
      </c>
      <c r="G527" s="172">
        <v>2</v>
      </c>
      <c r="H527" s="92">
        <v>852.4</v>
      </c>
      <c r="I527" s="92">
        <v>478</v>
      </c>
      <c r="J527" s="92">
        <v>478</v>
      </c>
      <c r="K527" s="172">
        <v>38</v>
      </c>
      <c r="L527" s="88">
        <v>29604</v>
      </c>
      <c r="M527" s="88">
        <v>0</v>
      </c>
      <c r="N527" s="88">
        <v>5921</v>
      </c>
      <c r="O527" s="88">
        <v>23683</v>
      </c>
      <c r="P527" s="88">
        <v>0</v>
      </c>
      <c r="Q527" s="92">
        <v>62</v>
      </c>
      <c r="R527" s="100">
        <v>6774</v>
      </c>
      <c r="S527" s="103">
        <v>42735</v>
      </c>
    </row>
    <row r="528" spans="1:19" s="1" customFormat="1" ht="31.5">
      <c r="A528" s="91">
        <f t="shared" si="170"/>
        <v>414</v>
      </c>
      <c r="B528" s="142" t="s">
        <v>330</v>
      </c>
      <c r="C528" s="172">
        <v>1985</v>
      </c>
      <c r="D528" s="172"/>
      <c r="E528" s="98" t="s">
        <v>143</v>
      </c>
      <c r="F528" s="172">
        <v>2</v>
      </c>
      <c r="G528" s="172">
        <v>2</v>
      </c>
      <c r="H528" s="92">
        <v>696.7</v>
      </c>
      <c r="I528" s="92">
        <v>403</v>
      </c>
      <c r="J528" s="92">
        <v>403</v>
      </c>
      <c r="K528" s="172">
        <v>34</v>
      </c>
      <c r="L528" s="88">
        <v>29704</v>
      </c>
      <c r="M528" s="88">
        <v>0</v>
      </c>
      <c r="N528" s="88">
        <v>5941</v>
      </c>
      <c r="O528" s="88">
        <v>23763</v>
      </c>
      <c r="P528" s="88">
        <v>0</v>
      </c>
      <c r="Q528" s="92">
        <v>74</v>
      </c>
      <c r="R528" s="100">
        <v>6774</v>
      </c>
      <c r="S528" s="103">
        <v>42735</v>
      </c>
    </row>
    <row r="529" spans="1:19" s="1" customFormat="1" ht="15.75">
      <c r="A529" s="91">
        <f t="shared" si="170"/>
        <v>415</v>
      </c>
      <c r="B529" s="142" t="s">
        <v>331</v>
      </c>
      <c r="C529" s="172">
        <v>1999</v>
      </c>
      <c r="D529" s="172"/>
      <c r="E529" s="98" t="s">
        <v>144</v>
      </c>
      <c r="F529" s="172">
        <v>2</v>
      </c>
      <c r="G529" s="172">
        <v>2</v>
      </c>
      <c r="H529" s="92">
        <v>845.6</v>
      </c>
      <c r="I529" s="92">
        <v>499.7</v>
      </c>
      <c r="J529" s="92">
        <v>499.7</v>
      </c>
      <c r="K529" s="172">
        <v>40</v>
      </c>
      <c r="L529" s="88">
        <v>20173</v>
      </c>
      <c r="M529" s="88">
        <v>0</v>
      </c>
      <c r="N529" s="88">
        <v>4035</v>
      </c>
      <c r="O529" s="88">
        <v>16138</v>
      </c>
      <c r="P529" s="88">
        <v>0</v>
      </c>
      <c r="Q529" s="92">
        <v>41</v>
      </c>
      <c r="R529" s="100">
        <v>6774</v>
      </c>
      <c r="S529" s="103">
        <v>42735</v>
      </c>
    </row>
    <row r="530" spans="1:19" s="1" customFormat="1" ht="15.75">
      <c r="A530" s="91">
        <f t="shared" si="170"/>
        <v>416</v>
      </c>
      <c r="B530" s="142" t="s">
        <v>320</v>
      </c>
      <c r="C530" s="172">
        <v>1970</v>
      </c>
      <c r="D530" s="172"/>
      <c r="E530" s="98" t="s">
        <v>145</v>
      </c>
      <c r="F530" s="172" t="s">
        <v>86</v>
      </c>
      <c r="G530" s="172" t="s">
        <v>78</v>
      </c>
      <c r="H530" s="92" t="s">
        <v>87</v>
      </c>
      <c r="I530" s="92" t="s">
        <v>140</v>
      </c>
      <c r="J530" s="92" t="s">
        <v>140</v>
      </c>
      <c r="K530" s="172" t="s">
        <v>88</v>
      </c>
      <c r="L530" s="88">
        <v>23000</v>
      </c>
      <c r="M530" s="88">
        <v>0</v>
      </c>
      <c r="N530" s="88">
        <v>2300</v>
      </c>
      <c r="O530" s="88">
        <v>20700</v>
      </c>
      <c r="P530" s="88">
        <v>0</v>
      </c>
      <c r="Q530" s="92">
        <v>78</v>
      </c>
      <c r="R530" s="100">
        <v>6774</v>
      </c>
      <c r="S530" s="103">
        <v>42735</v>
      </c>
    </row>
    <row r="531" spans="1:19" s="1" customFormat="1" ht="31.5">
      <c r="A531" s="91">
        <f t="shared" si="170"/>
        <v>417</v>
      </c>
      <c r="B531" s="142" t="s">
        <v>332</v>
      </c>
      <c r="C531" s="172">
        <v>1966</v>
      </c>
      <c r="D531" s="172"/>
      <c r="E531" s="98" t="s">
        <v>143</v>
      </c>
      <c r="F531" s="172">
        <v>2</v>
      </c>
      <c r="G531" s="172">
        <v>2</v>
      </c>
      <c r="H531" s="92">
        <v>432.7</v>
      </c>
      <c r="I531" s="92">
        <v>278.8</v>
      </c>
      <c r="J531" s="92">
        <v>278.8</v>
      </c>
      <c r="K531" s="172">
        <v>19</v>
      </c>
      <c r="L531" s="88">
        <v>17896</v>
      </c>
      <c r="M531" s="88">
        <v>0</v>
      </c>
      <c r="N531" s="88">
        <v>1789</v>
      </c>
      <c r="O531" s="88">
        <v>16107</v>
      </c>
      <c r="P531" s="88">
        <v>0</v>
      </c>
      <c r="Q531" s="92">
        <v>65</v>
      </c>
      <c r="R531" s="100">
        <v>6774</v>
      </c>
      <c r="S531" s="103">
        <v>42735</v>
      </c>
    </row>
    <row r="532" spans="1:19" s="1" customFormat="1" ht="31.5">
      <c r="A532" s="91">
        <f t="shared" si="170"/>
        <v>418</v>
      </c>
      <c r="B532" s="142" t="s">
        <v>542</v>
      </c>
      <c r="C532" s="172">
        <v>1964</v>
      </c>
      <c r="D532" s="172"/>
      <c r="E532" s="98" t="s">
        <v>143</v>
      </c>
      <c r="F532" s="172">
        <v>2</v>
      </c>
      <c r="G532" s="172">
        <v>3</v>
      </c>
      <c r="H532" s="92">
        <v>448.1</v>
      </c>
      <c r="I532" s="92">
        <v>280.7</v>
      </c>
      <c r="J532" s="92">
        <v>280.7</v>
      </c>
      <c r="K532" s="172">
        <v>30</v>
      </c>
      <c r="L532" s="88">
        <v>23850</v>
      </c>
      <c r="M532" s="88">
        <v>0</v>
      </c>
      <c r="N532" s="88">
        <v>4770</v>
      </c>
      <c r="O532" s="88">
        <v>19080</v>
      </c>
      <c r="P532" s="88">
        <v>0</v>
      </c>
      <c r="Q532" s="92">
        <v>85</v>
      </c>
      <c r="R532" s="100">
        <v>6774</v>
      </c>
      <c r="S532" s="103">
        <v>42735</v>
      </c>
    </row>
    <row r="533" spans="1:19" s="1" customFormat="1" ht="31.5">
      <c r="A533" s="91">
        <f t="shared" si="170"/>
        <v>419</v>
      </c>
      <c r="B533" s="142" t="s">
        <v>334</v>
      </c>
      <c r="C533" s="172">
        <v>1967</v>
      </c>
      <c r="D533" s="172"/>
      <c r="E533" s="98" t="s">
        <v>143</v>
      </c>
      <c r="F533" s="172">
        <v>2</v>
      </c>
      <c r="G533" s="172">
        <v>1</v>
      </c>
      <c r="H533" s="92">
        <v>303.60000000000002</v>
      </c>
      <c r="I533" s="92">
        <v>238.1</v>
      </c>
      <c r="J533" s="92">
        <v>238.1</v>
      </c>
      <c r="K533" s="172">
        <v>21</v>
      </c>
      <c r="L533" s="88">
        <v>27047</v>
      </c>
      <c r="M533" s="88">
        <v>0</v>
      </c>
      <c r="N533" s="88">
        <v>5409</v>
      </c>
      <c r="O533" s="88">
        <v>21638</v>
      </c>
      <c r="P533" s="88">
        <v>0</v>
      </c>
      <c r="Q533" s="92">
        <v>114</v>
      </c>
      <c r="R533" s="100">
        <v>6774</v>
      </c>
      <c r="S533" s="103">
        <v>42735</v>
      </c>
    </row>
    <row r="534" spans="1:19" s="1" customFormat="1" ht="31.5">
      <c r="A534" s="91">
        <f t="shared" si="170"/>
        <v>420</v>
      </c>
      <c r="B534" s="142" t="s">
        <v>335</v>
      </c>
      <c r="C534" s="172">
        <v>1968</v>
      </c>
      <c r="D534" s="172"/>
      <c r="E534" s="98" t="s">
        <v>143</v>
      </c>
      <c r="F534" s="172">
        <v>1</v>
      </c>
      <c r="G534" s="172">
        <v>2</v>
      </c>
      <c r="H534" s="92">
        <v>522</v>
      </c>
      <c r="I534" s="92">
        <v>302.60000000000002</v>
      </c>
      <c r="J534" s="92">
        <v>302.60000000000002</v>
      </c>
      <c r="K534" s="172">
        <v>24</v>
      </c>
      <c r="L534" s="88">
        <v>26600</v>
      </c>
      <c r="M534" s="88">
        <v>0</v>
      </c>
      <c r="N534" s="88">
        <v>5320</v>
      </c>
      <c r="O534" s="88">
        <v>21280</v>
      </c>
      <c r="P534" s="88">
        <v>0</v>
      </c>
      <c r="Q534" s="92">
        <v>88</v>
      </c>
      <c r="R534" s="100">
        <v>6774</v>
      </c>
      <c r="S534" s="103">
        <v>42735</v>
      </c>
    </row>
    <row r="535" spans="1:19" s="1" customFormat="1" ht="15.75">
      <c r="A535" s="91">
        <f t="shared" si="170"/>
        <v>421</v>
      </c>
      <c r="B535" s="142" t="s">
        <v>336</v>
      </c>
      <c r="C535" s="172">
        <v>1968</v>
      </c>
      <c r="D535" s="172"/>
      <c r="E535" s="98" t="s">
        <v>145</v>
      </c>
      <c r="F535" s="172">
        <v>2</v>
      </c>
      <c r="G535" s="172">
        <v>2</v>
      </c>
      <c r="H535" s="92">
        <v>530.29999999999995</v>
      </c>
      <c r="I535" s="92">
        <v>300</v>
      </c>
      <c r="J535" s="92">
        <v>300</v>
      </c>
      <c r="K535" s="172">
        <v>22</v>
      </c>
      <c r="L535" s="88">
        <v>18076</v>
      </c>
      <c r="M535" s="88">
        <v>0</v>
      </c>
      <c r="N535" s="88">
        <v>5423</v>
      </c>
      <c r="O535" s="88">
        <v>12653</v>
      </c>
      <c r="P535" s="88">
        <v>0</v>
      </c>
      <c r="Q535" s="92">
        <v>61</v>
      </c>
      <c r="R535" s="100">
        <v>6774</v>
      </c>
      <c r="S535" s="103">
        <v>42735</v>
      </c>
    </row>
    <row r="536" spans="1:19" s="1" customFormat="1" ht="15.75">
      <c r="A536" s="91">
        <f t="shared" si="170"/>
        <v>422</v>
      </c>
      <c r="B536" s="142" t="s">
        <v>311</v>
      </c>
      <c r="C536" s="172">
        <v>1973</v>
      </c>
      <c r="D536" s="172"/>
      <c r="E536" s="98" t="s">
        <v>145</v>
      </c>
      <c r="F536" s="172">
        <v>2</v>
      </c>
      <c r="G536" s="172">
        <v>2</v>
      </c>
      <c r="H536" s="92">
        <v>552.6</v>
      </c>
      <c r="I536" s="92">
        <v>292.39999999999998</v>
      </c>
      <c r="J536" s="92">
        <v>292.39999999999998</v>
      </c>
      <c r="K536" s="172">
        <v>19</v>
      </c>
      <c r="L536" s="88">
        <v>16781</v>
      </c>
      <c r="M536" s="88">
        <v>0</v>
      </c>
      <c r="N536" s="88">
        <v>5034</v>
      </c>
      <c r="O536" s="88">
        <v>11747</v>
      </c>
      <c r="P536" s="88">
        <v>0</v>
      </c>
      <c r="Q536" s="92">
        <v>58</v>
      </c>
      <c r="R536" s="100">
        <v>6774</v>
      </c>
      <c r="S536" s="103">
        <v>42735</v>
      </c>
    </row>
    <row r="537" spans="1:19" s="1" customFormat="1" ht="31.5">
      <c r="A537" s="91">
        <f t="shared" si="170"/>
        <v>423</v>
      </c>
      <c r="B537" s="142" t="s">
        <v>312</v>
      </c>
      <c r="C537" s="172">
        <v>1968</v>
      </c>
      <c r="D537" s="172"/>
      <c r="E537" s="98" t="s">
        <v>143</v>
      </c>
      <c r="F537" s="172">
        <v>2</v>
      </c>
      <c r="G537" s="172">
        <v>2</v>
      </c>
      <c r="H537" s="92">
        <v>435.4</v>
      </c>
      <c r="I537" s="92">
        <v>287.2</v>
      </c>
      <c r="J537" s="92">
        <v>287.2</v>
      </c>
      <c r="K537" s="172">
        <v>19</v>
      </c>
      <c r="L537" s="88">
        <v>8895</v>
      </c>
      <c r="M537" s="88">
        <v>0</v>
      </c>
      <c r="N537" s="88">
        <v>889</v>
      </c>
      <c r="O537" s="88">
        <v>8006</v>
      </c>
      <c r="P537" s="88">
        <v>0</v>
      </c>
      <c r="Q537" s="92">
        <v>44</v>
      </c>
      <c r="R537" s="100">
        <v>6774</v>
      </c>
      <c r="S537" s="103">
        <v>42735</v>
      </c>
    </row>
    <row r="538" spans="1:19" s="1" customFormat="1" ht="31.5">
      <c r="A538" s="91">
        <f t="shared" si="170"/>
        <v>424</v>
      </c>
      <c r="B538" s="142" t="s">
        <v>313</v>
      </c>
      <c r="C538" s="172">
        <v>1962</v>
      </c>
      <c r="D538" s="172"/>
      <c r="E538" s="98" t="s">
        <v>143</v>
      </c>
      <c r="F538" s="172">
        <v>2</v>
      </c>
      <c r="G538" s="172">
        <v>1</v>
      </c>
      <c r="H538" s="92">
        <v>297.7</v>
      </c>
      <c r="I538" s="92">
        <v>205.3</v>
      </c>
      <c r="J538" s="92">
        <v>205.3</v>
      </c>
      <c r="K538" s="172">
        <v>19</v>
      </c>
      <c r="L538" s="88">
        <v>8895</v>
      </c>
      <c r="M538" s="88">
        <v>0</v>
      </c>
      <c r="N538" s="88">
        <v>889</v>
      </c>
      <c r="O538" s="88">
        <v>8006</v>
      </c>
      <c r="P538" s="88">
        <v>0</v>
      </c>
      <c r="Q538" s="92">
        <v>44</v>
      </c>
      <c r="R538" s="100">
        <v>6774</v>
      </c>
      <c r="S538" s="103">
        <v>42735</v>
      </c>
    </row>
    <row r="539" spans="1:19" s="1" customFormat="1" ht="31.5">
      <c r="A539" s="91">
        <f t="shared" si="170"/>
        <v>425</v>
      </c>
      <c r="B539" s="142" t="s">
        <v>314</v>
      </c>
      <c r="C539" s="172">
        <v>1961</v>
      </c>
      <c r="D539" s="172"/>
      <c r="E539" s="98" t="s">
        <v>143</v>
      </c>
      <c r="F539" s="172">
        <v>2</v>
      </c>
      <c r="G539" s="172">
        <v>1</v>
      </c>
      <c r="H539" s="92">
        <v>283.2</v>
      </c>
      <c r="I539" s="92">
        <v>190.8</v>
      </c>
      <c r="J539" s="92">
        <v>190.8</v>
      </c>
      <c r="K539" s="172">
        <v>21</v>
      </c>
      <c r="L539" s="88">
        <v>17790</v>
      </c>
      <c r="M539" s="88">
        <v>0</v>
      </c>
      <c r="N539" s="88">
        <v>1779</v>
      </c>
      <c r="O539" s="88">
        <v>16011</v>
      </c>
      <c r="P539" s="88">
        <v>0</v>
      </c>
      <c r="Q539" s="92">
        <v>94</v>
      </c>
      <c r="R539" s="100">
        <v>6774</v>
      </c>
      <c r="S539" s="103">
        <v>42735</v>
      </c>
    </row>
    <row r="540" spans="1:19" s="1" customFormat="1" ht="31.5">
      <c r="A540" s="91">
        <f t="shared" si="170"/>
        <v>426</v>
      </c>
      <c r="B540" s="142" t="s">
        <v>546</v>
      </c>
      <c r="C540" s="172">
        <v>1992</v>
      </c>
      <c r="D540" s="172"/>
      <c r="E540" s="98" t="s">
        <v>143</v>
      </c>
      <c r="F540" s="172">
        <v>2</v>
      </c>
      <c r="G540" s="172">
        <v>2</v>
      </c>
      <c r="H540" s="92">
        <v>550.4</v>
      </c>
      <c r="I540" s="92">
        <v>320.2</v>
      </c>
      <c r="J540" s="92">
        <v>320.2</v>
      </c>
      <c r="K540" s="172">
        <v>25</v>
      </c>
      <c r="L540" s="88">
        <v>19032</v>
      </c>
      <c r="M540" s="88">
        <v>0</v>
      </c>
      <c r="N540" s="88">
        <v>5710</v>
      </c>
      <c r="O540" s="88">
        <v>13322</v>
      </c>
      <c r="P540" s="88">
        <v>0</v>
      </c>
      <c r="Q540" s="92">
        <v>60</v>
      </c>
      <c r="R540" s="100">
        <v>6774</v>
      </c>
      <c r="S540" s="103">
        <v>42735</v>
      </c>
    </row>
    <row r="541" spans="1:19" s="1" customFormat="1" ht="15.75">
      <c r="A541" s="91">
        <f t="shared" si="170"/>
        <v>427</v>
      </c>
      <c r="B541" s="142" t="s">
        <v>315</v>
      </c>
      <c r="C541" s="172">
        <v>1974</v>
      </c>
      <c r="D541" s="172"/>
      <c r="E541" s="98" t="s">
        <v>144</v>
      </c>
      <c r="F541" s="172">
        <v>2</v>
      </c>
      <c r="G541" s="172">
        <v>2</v>
      </c>
      <c r="H541" s="92">
        <v>750.4</v>
      </c>
      <c r="I541" s="92">
        <v>475.6</v>
      </c>
      <c r="J541" s="92">
        <v>475.6</v>
      </c>
      <c r="K541" s="172">
        <v>26</v>
      </c>
      <c r="L541" s="88">
        <v>26680</v>
      </c>
      <c r="M541" s="88">
        <v>0</v>
      </c>
      <c r="N541" s="88">
        <v>8004</v>
      </c>
      <c r="O541" s="88">
        <v>18676</v>
      </c>
      <c r="P541" s="88">
        <v>0</v>
      </c>
      <c r="Q541" s="92">
        <v>57</v>
      </c>
      <c r="R541" s="100">
        <v>6774</v>
      </c>
      <c r="S541" s="103">
        <v>42735</v>
      </c>
    </row>
    <row r="542" spans="1:19" s="1" customFormat="1" ht="31.5">
      <c r="A542" s="91">
        <f t="shared" si="170"/>
        <v>428</v>
      </c>
      <c r="B542" s="142" t="s">
        <v>550</v>
      </c>
      <c r="C542" s="172">
        <v>1972</v>
      </c>
      <c r="D542" s="172"/>
      <c r="E542" s="98" t="s">
        <v>143</v>
      </c>
      <c r="F542" s="172">
        <v>2</v>
      </c>
      <c r="G542" s="172">
        <v>2</v>
      </c>
      <c r="H542" s="92">
        <v>497.6</v>
      </c>
      <c r="I542" s="92">
        <v>284.60000000000002</v>
      </c>
      <c r="J542" s="92">
        <v>284.60000000000002</v>
      </c>
      <c r="K542" s="172">
        <v>27</v>
      </c>
      <c r="L542" s="88">
        <v>26680</v>
      </c>
      <c r="M542" s="88">
        <v>0</v>
      </c>
      <c r="N542" s="88">
        <v>8004</v>
      </c>
      <c r="O542" s="88">
        <v>18676</v>
      </c>
      <c r="P542" s="88">
        <v>0</v>
      </c>
      <c r="Q542" s="92">
        <v>94</v>
      </c>
      <c r="R542" s="100">
        <v>6774</v>
      </c>
      <c r="S542" s="103">
        <v>42735</v>
      </c>
    </row>
    <row r="543" spans="1:19" s="1" customFormat="1" ht="15.75">
      <c r="A543" s="91">
        <f t="shared" si="170"/>
        <v>429</v>
      </c>
      <c r="B543" s="142" t="s">
        <v>316</v>
      </c>
      <c r="C543" s="172">
        <v>1976</v>
      </c>
      <c r="D543" s="172"/>
      <c r="E543" s="98" t="s">
        <v>144</v>
      </c>
      <c r="F543" s="172">
        <v>2</v>
      </c>
      <c r="G543" s="172">
        <v>2</v>
      </c>
      <c r="H543" s="92">
        <v>770.6</v>
      </c>
      <c r="I543" s="92">
        <v>475.2</v>
      </c>
      <c r="J543" s="92">
        <v>475.2</v>
      </c>
      <c r="K543" s="172">
        <v>26</v>
      </c>
      <c r="L543" s="88">
        <v>29690</v>
      </c>
      <c r="M543" s="88">
        <v>0</v>
      </c>
      <c r="N543" s="88">
        <v>5938</v>
      </c>
      <c r="O543" s="88">
        <v>23752</v>
      </c>
      <c r="P543" s="88">
        <v>0</v>
      </c>
      <c r="Q543" s="92">
        <v>63</v>
      </c>
      <c r="R543" s="100">
        <v>6774</v>
      </c>
      <c r="S543" s="103">
        <v>42735</v>
      </c>
    </row>
    <row r="544" spans="1:19" s="1" customFormat="1" ht="15.75">
      <c r="A544" s="91">
        <f t="shared" si="170"/>
        <v>430</v>
      </c>
      <c r="B544" s="142" t="s">
        <v>545</v>
      </c>
      <c r="C544" s="172">
        <v>1972</v>
      </c>
      <c r="D544" s="172"/>
      <c r="E544" s="98" t="s">
        <v>145</v>
      </c>
      <c r="F544" s="172">
        <v>2</v>
      </c>
      <c r="G544" s="172">
        <v>2</v>
      </c>
      <c r="H544" s="92">
        <v>507.6</v>
      </c>
      <c r="I544" s="92">
        <v>306.39999999999998</v>
      </c>
      <c r="J544" s="92">
        <v>306.39999999999998</v>
      </c>
      <c r="K544" s="172">
        <v>21</v>
      </c>
      <c r="L544" s="88">
        <v>17184</v>
      </c>
      <c r="M544" s="88">
        <v>0</v>
      </c>
      <c r="N544" s="88">
        <v>5155</v>
      </c>
      <c r="O544" s="88">
        <v>12029</v>
      </c>
      <c r="P544" s="88">
        <v>0</v>
      </c>
      <c r="Q544" s="92">
        <v>57</v>
      </c>
      <c r="R544" s="100">
        <v>6774</v>
      </c>
      <c r="S544" s="103">
        <v>42735</v>
      </c>
    </row>
    <row r="545" spans="1:19" s="1" customFormat="1" ht="31.5">
      <c r="A545" s="91">
        <f t="shared" si="170"/>
        <v>431</v>
      </c>
      <c r="B545" s="142" t="s">
        <v>544</v>
      </c>
      <c r="C545" s="172">
        <v>1971</v>
      </c>
      <c r="D545" s="172"/>
      <c r="E545" s="98" t="s">
        <v>143</v>
      </c>
      <c r="F545" s="172">
        <v>2</v>
      </c>
      <c r="G545" s="172">
        <v>1</v>
      </c>
      <c r="H545" s="92">
        <v>341.9</v>
      </c>
      <c r="I545" s="92">
        <v>210.7</v>
      </c>
      <c r="J545" s="92">
        <v>210.7</v>
      </c>
      <c r="K545" s="172">
        <v>12</v>
      </c>
      <c r="L545" s="88">
        <v>18212</v>
      </c>
      <c r="M545" s="88">
        <v>0</v>
      </c>
      <c r="N545" s="88">
        <v>3642</v>
      </c>
      <c r="O545" s="88">
        <v>14570</v>
      </c>
      <c r="P545" s="88">
        <v>0</v>
      </c>
      <c r="Q545" s="92">
        <v>87</v>
      </c>
      <c r="R545" s="100">
        <v>6774</v>
      </c>
      <c r="S545" s="103">
        <v>42735</v>
      </c>
    </row>
    <row r="546" spans="1:19" s="1" customFormat="1" ht="31.5">
      <c r="A546" s="91">
        <f t="shared" si="170"/>
        <v>432</v>
      </c>
      <c r="B546" s="142" t="s">
        <v>543</v>
      </c>
      <c r="C546" s="172">
        <v>1971</v>
      </c>
      <c r="D546" s="172"/>
      <c r="E546" s="98" t="s">
        <v>143</v>
      </c>
      <c r="F546" s="172">
        <v>2</v>
      </c>
      <c r="G546" s="172">
        <v>1</v>
      </c>
      <c r="H546" s="92">
        <v>308.39999999999998</v>
      </c>
      <c r="I546" s="92">
        <v>207</v>
      </c>
      <c r="J546" s="92">
        <v>207</v>
      </c>
      <c r="K546" s="172">
        <v>20</v>
      </c>
      <c r="L546" s="88">
        <v>7950</v>
      </c>
      <c r="M546" s="88">
        <v>0</v>
      </c>
      <c r="N546" s="88">
        <v>1590</v>
      </c>
      <c r="O546" s="88">
        <v>6360</v>
      </c>
      <c r="P546" s="88">
        <v>0</v>
      </c>
      <c r="Q546" s="92">
        <v>38</v>
      </c>
      <c r="R546" s="100">
        <v>6774</v>
      </c>
      <c r="S546" s="103">
        <v>42735</v>
      </c>
    </row>
    <row r="547" spans="1:19" s="1" customFormat="1" ht="15.75">
      <c r="A547" s="91">
        <f t="shared" si="170"/>
        <v>433</v>
      </c>
      <c r="B547" s="142" t="s">
        <v>317</v>
      </c>
      <c r="C547" s="172">
        <v>1983</v>
      </c>
      <c r="D547" s="172"/>
      <c r="E547" s="98" t="s">
        <v>144</v>
      </c>
      <c r="F547" s="172">
        <v>2</v>
      </c>
      <c r="G547" s="172">
        <v>2</v>
      </c>
      <c r="H547" s="92">
        <v>521.79999999999995</v>
      </c>
      <c r="I547" s="92">
        <v>284.2</v>
      </c>
      <c r="J547" s="92">
        <v>284.2</v>
      </c>
      <c r="K547" s="172">
        <v>19</v>
      </c>
      <c r="L547" s="88">
        <v>15000</v>
      </c>
      <c r="M547" s="88">
        <v>0</v>
      </c>
      <c r="N547" s="88">
        <v>3000</v>
      </c>
      <c r="O547" s="88">
        <v>12000</v>
      </c>
      <c r="P547" s="88">
        <v>0</v>
      </c>
      <c r="Q547" s="92">
        <v>53</v>
      </c>
      <c r="R547" s="100">
        <v>6774</v>
      </c>
      <c r="S547" s="103">
        <v>42735</v>
      </c>
    </row>
    <row r="548" spans="1:19" s="1" customFormat="1" ht="31.5">
      <c r="A548" s="91">
        <f t="shared" si="170"/>
        <v>434</v>
      </c>
      <c r="B548" s="142" t="s">
        <v>309</v>
      </c>
      <c r="C548" s="172">
        <v>1981</v>
      </c>
      <c r="D548" s="172"/>
      <c r="E548" s="98" t="s">
        <v>143</v>
      </c>
      <c r="F548" s="172">
        <v>5</v>
      </c>
      <c r="G548" s="172">
        <v>2</v>
      </c>
      <c r="H548" s="92">
        <v>1768.6</v>
      </c>
      <c r="I548" s="92">
        <v>1162.9000000000001</v>
      </c>
      <c r="J548" s="92">
        <v>1162.9000000000001</v>
      </c>
      <c r="K548" s="172">
        <v>75</v>
      </c>
      <c r="L548" s="88">
        <v>91168</v>
      </c>
      <c r="M548" s="88">
        <v>0</v>
      </c>
      <c r="N548" s="88">
        <v>27350</v>
      </c>
      <c r="O548" s="88">
        <v>63818</v>
      </c>
      <c r="P548" s="88">
        <v>0</v>
      </c>
      <c r="Q548" s="92">
        <v>79</v>
      </c>
      <c r="R548" s="100">
        <v>6774</v>
      </c>
      <c r="S548" s="103">
        <v>42735</v>
      </c>
    </row>
    <row r="549" spans="1:19" s="1" customFormat="1" ht="15.75">
      <c r="A549" s="91">
        <f t="shared" si="170"/>
        <v>435</v>
      </c>
      <c r="B549" s="142" t="s">
        <v>318</v>
      </c>
      <c r="C549" s="172">
        <v>1983</v>
      </c>
      <c r="D549" s="172"/>
      <c r="E549" s="98" t="s">
        <v>144</v>
      </c>
      <c r="F549" s="172">
        <v>2</v>
      </c>
      <c r="G549" s="172">
        <v>2</v>
      </c>
      <c r="H549" s="92">
        <v>521.79999999999995</v>
      </c>
      <c r="I549" s="92">
        <v>284.2</v>
      </c>
      <c r="J549" s="92">
        <v>284.2</v>
      </c>
      <c r="K549" s="172">
        <v>26</v>
      </c>
      <c r="L549" s="88">
        <v>29990</v>
      </c>
      <c r="M549" s="88">
        <v>0</v>
      </c>
      <c r="N549" s="88">
        <v>8997</v>
      </c>
      <c r="O549" s="88">
        <v>20993</v>
      </c>
      <c r="P549" s="88">
        <v>0</v>
      </c>
      <c r="Q549" s="92">
        <v>106</v>
      </c>
      <c r="R549" s="100">
        <v>6774</v>
      </c>
      <c r="S549" s="103">
        <v>42735</v>
      </c>
    </row>
    <row r="550" spans="1:19" s="1" customFormat="1" ht="31.5">
      <c r="A550" s="91">
        <f t="shared" si="170"/>
        <v>436</v>
      </c>
      <c r="B550" s="142" t="s">
        <v>319</v>
      </c>
      <c r="C550" s="172">
        <v>1992</v>
      </c>
      <c r="D550" s="172"/>
      <c r="E550" s="98" t="s">
        <v>143</v>
      </c>
      <c r="F550" s="172">
        <v>2</v>
      </c>
      <c r="G550" s="172">
        <v>3</v>
      </c>
      <c r="H550" s="92">
        <v>931.3</v>
      </c>
      <c r="I550" s="92">
        <v>555.1</v>
      </c>
      <c r="J550" s="92">
        <v>555.1</v>
      </c>
      <c r="K550" s="172">
        <v>35</v>
      </c>
      <c r="L550" s="88">
        <v>14760</v>
      </c>
      <c r="M550" s="88">
        <v>0</v>
      </c>
      <c r="N550" s="88">
        <v>4428</v>
      </c>
      <c r="O550" s="88">
        <v>10332</v>
      </c>
      <c r="P550" s="88">
        <v>0</v>
      </c>
      <c r="Q550" s="92">
        <v>27</v>
      </c>
      <c r="R550" s="100">
        <v>6774</v>
      </c>
      <c r="S550" s="103">
        <v>42735</v>
      </c>
    </row>
    <row r="551" spans="1:19" s="1" customFormat="1" ht="15.75">
      <c r="A551" s="91">
        <f t="shared" si="170"/>
        <v>437</v>
      </c>
      <c r="B551" s="142" t="s">
        <v>328</v>
      </c>
      <c r="C551" s="172">
        <v>1978</v>
      </c>
      <c r="D551" s="172"/>
      <c r="E551" s="98" t="s">
        <v>145</v>
      </c>
      <c r="F551" s="172">
        <v>2</v>
      </c>
      <c r="G551" s="172">
        <v>2</v>
      </c>
      <c r="H551" s="92">
        <v>741.2</v>
      </c>
      <c r="I551" s="92">
        <v>489.2</v>
      </c>
      <c r="J551" s="92">
        <v>489.2</v>
      </c>
      <c r="K551" s="172">
        <v>37</v>
      </c>
      <c r="L551" s="88">
        <v>26688</v>
      </c>
      <c r="M551" s="88">
        <v>0</v>
      </c>
      <c r="N551" s="88">
        <v>5337</v>
      </c>
      <c r="O551" s="88">
        <v>21351</v>
      </c>
      <c r="P551" s="88">
        <v>0</v>
      </c>
      <c r="Q551" s="92">
        <v>55</v>
      </c>
      <c r="R551" s="100">
        <v>6774</v>
      </c>
      <c r="S551" s="103">
        <v>42735</v>
      </c>
    </row>
    <row r="552" spans="1:19" s="1" customFormat="1" ht="15.75">
      <c r="A552" s="91">
        <f t="shared" si="170"/>
        <v>438</v>
      </c>
      <c r="B552" s="142" t="s">
        <v>308</v>
      </c>
      <c r="C552" s="172">
        <v>1984</v>
      </c>
      <c r="D552" s="172"/>
      <c r="E552" s="98" t="s">
        <v>145</v>
      </c>
      <c r="F552" s="172">
        <v>2</v>
      </c>
      <c r="G552" s="172">
        <v>3</v>
      </c>
      <c r="H552" s="92">
        <v>836.9</v>
      </c>
      <c r="I552" s="92">
        <v>491.9</v>
      </c>
      <c r="J552" s="92">
        <v>491.9</v>
      </c>
      <c r="K552" s="172">
        <v>41</v>
      </c>
      <c r="L552" s="88">
        <v>206769</v>
      </c>
      <c r="M552" s="88">
        <v>0</v>
      </c>
      <c r="N552" s="88">
        <v>62031</v>
      </c>
      <c r="O552" s="88">
        <v>144738</v>
      </c>
      <c r="P552" s="88">
        <v>0</v>
      </c>
      <c r="Q552" s="92">
        <v>421</v>
      </c>
      <c r="R552" s="100">
        <v>6774</v>
      </c>
      <c r="S552" s="103">
        <v>42735</v>
      </c>
    </row>
    <row r="553" spans="1:19" s="1" customFormat="1" ht="15.75">
      <c r="A553" s="91">
        <f t="shared" si="170"/>
        <v>439</v>
      </c>
      <c r="B553" s="142" t="s">
        <v>322</v>
      </c>
      <c r="C553" s="172">
        <v>1980</v>
      </c>
      <c r="D553" s="172"/>
      <c r="E553" s="98" t="s">
        <v>145</v>
      </c>
      <c r="F553" s="172">
        <v>2</v>
      </c>
      <c r="G553" s="172">
        <v>2</v>
      </c>
      <c r="H553" s="92">
        <v>747</v>
      </c>
      <c r="I553" s="92">
        <v>465</v>
      </c>
      <c r="J553" s="92">
        <v>465</v>
      </c>
      <c r="K553" s="172">
        <v>22</v>
      </c>
      <c r="L553" s="88">
        <v>18872</v>
      </c>
      <c r="M553" s="88">
        <v>0</v>
      </c>
      <c r="N553" s="88">
        <v>5661</v>
      </c>
      <c r="O553" s="88">
        <v>13211</v>
      </c>
      <c r="P553" s="88">
        <v>0</v>
      </c>
      <c r="Q553" s="92">
        <v>41</v>
      </c>
      <c r="R553" s="100">
        <v>6774</v>
      </c>
      <c r="S553" s="103">
        <v>42735</v>
      </c>
    </row>
    <row r="554" spans="1:19" s="1" customFormat="1" ht="15.75">
      <c r="A554" s="91">
        <f t="shared" si="170"/>
        <v>440</v>
      </c>
      <c r="B554" s="142" t="s">
        <v>324</v>
      </c>
      <c r="C554" s="172">
        <v>1977</v>
      </c>
      <c r="D554" s="172"/>
      <c r="E554" s="98" t="s">
        <v>145</v>
      </c>
      <c r="F554" s="172">
        <v>2</v>
      </c>
      <c r="G554" s="172">
        <v>2</v>
      </c>
      <c r="H554" s="92">
        <v>740</v>
      </c>
      <c r="I554" s="92">
        <v>464.7</v>
      </c>
      <c r="J554" s="92">
        <v>464.7</v>
      </c>
      <c r="K554" s="172">
        <v>30</v>
      </c>
      <c r="L554" s="88">
        <v>17216</v>
      </c>
      <c r="M554" s="88">
        <v>0</v>
      </c>
      <c r="N554" s="88">
        <v>3443</v>
      </c>
      <c r="O554" s="88">
        <v>13773</v>
      </c>
      <c r="P554" s="88">
        <v>0</v>
      </c>
      <c r="Q554" s="92">
        <f>L554/I554</f>
        <v>37.047557564019797</v>
      </c>
      <c r="R554" s="100">
        <v>6774</v>
      </c>
      <c r="S554" s="103">
        <v>42735</v>
      </c>
    </row>
    <row r="555" spans="1:19" s="1" customFormat="1" ht="15.75">
      <c r="A555" s="91">
        <f t="shared" si="170"/>
        <v>441</v>
      </c>
      <c r="B555" s="142" t="s">
        <v>307</v>
      </c>
      <c r="C555" s="172">
        <v>1978</v>
      </c>
      <c r="D555" s="172"/>
      <c r="E555" s="98" t="s">
        <v>145</v>
      </c>
      <c r="F555" s="172">
        <v>2</v>
      </c>
      <c r="G555" s="172">
        <v>2</v>
      </c>
      <c r="H555" s="92">
        <v>743.4</v>
      </c>
      <c r="I555" s="92">
        <v>466</v>
      </c>
      <c r="J555" s="92">
        <v>466</v>
      </c>
      <c r="K555" s="172">
        <v>29</v>
      </c>
      <c r="L555" s="88">
        <v>151552</v>
      </c>
      <c r="M555" s="88">
        <v>0</v>
      </c>
      <c r="N555" s="88">
        <v>30310</v>
      </c>
      <c r="O555" s="88">
        <v>121242</v>
      </c>
      <c r="P555" s="88">
        <v>0</v>
      </c>
      <c r="Q555" s="92">
        <v>326</v>
      </c>
      <c r="R555" s="100">
        <v>6774</v>
      </c>
      <c r="S555" s="103">
        <v>42735</v>
      </c>
    </row>
    <row r="556" spans="1:19" s="1" customFormat="1" ht="31.5">
      <c r="A556" s="91">
        <f t="shared" si="170"/>
        <v>442</v>
      </c>
      <c r="B556" s="142" t="s">
        <v>541</v>
      </c>
      <c r="C556" s="172">
        <v>1989</v>
      </c>
      <c r="D556" s="172"/>
      <c r="E556" s="98" t="s">
        <v>143</v>
      </c>
      <c r="F556" s="172">
        <v>5</v>
      </c>
      <c r="G556" s="172">
        <v>6</v>
      </c>
      <c r="H556" s="92">
        <v>4043</v>
      </c>
      <c r="I556" s="92">
        <v>2520.1</v>
      </c>
      <c r="J556" s="92">
        <v>2520.1</v>
      </c>
      <c r="K556" s="172">
        <v>178</v>
      </c>
      <c r="L556" s="88">
        <v>160104</v>
      </c>
      <c r="M556" s="88">
        <v>0</v>
      </c>
      <c r="N556" s="88">
        <v>32021</v>
      </c>
      <c r="O556" s="88">
        <v>128083</v>
      </c>
      <c r="P556" s="88">
        <v>0</v>
      </c>
      <c r="Q556" s="92">
        <v>64</v>
      </c>
      <c r="R556" s="100">
        <v>6774</v>
      </c>
      <c r="S556" s="103">
        <v>42735</v>
      </c>
    </row>
    <row r="557" spans="1:19" s="1" customFormat="1" ht="15.75">
      <c r="A557" s="91">
        <f t="shared" si="170"/>
        <v>443</v>
      </c>
      <c r="B557" s="142" t="s">
        <v>325</v>
      </c>
      <c r="C557" s="172">
        <v>1978</v>
      </c>
      <c r="D557" s="172"/>
      <c r="E557" s="98" t="s">
        <v>145</v>
      </c>
      <c r="F557" s="172">
        <v>2</v>
      </c>
      <c r="G557" s="172">
        <v>2</v>
      </c>
      <c r="H557" s="92">
        <v>740.5</v>
      </c>
      <c r="I557" s="92">
        <v>479</v>
      </c>
      <c r="J557" s="92">
        <v>479</v>
      </c>
      <c r="K557" s="172">
        <v>37</v>
      </c>
      <c r="L557" s="88">
        <v>17598</v>
      </c>
      <c r="M557" s="88">
        <v>0</v>
      </c>
      <c r="N557" s="88">
        <v>5279</v>
      </c>
      <c r="O557" s="88">
        <v>12319</v>
      </c>
      <c r="P557" s="88">
        <v>0</v>
      </c>
      <c r="Q557" s="92">
        <v>37</v>
      </c>
      <c r="R557" s="100">
        <v>6774</v>
      </c>
      <c r="S557" s="103">
        <v>42735</v>
      </c>
    </row>
    <row r="558" spans="1:19" s="1" customFormat="1" ht="31.5">
      <c r="A558" s="91">
        <f t="shared" si="170"/>
        <v>444</v>
      </c>
      <c r="B558" s="142" t="s">
        <v>326</v>
      </c>
      <c r="C558" s="172">
        <v>1984</v>
      </c>
      <c r="D558" s="172"/>
      <c r="E558" s="98" t="s">
        <v>143</v>
      </c>
      <c r="F558" s="172">
        <v>2</v>
      </c>
      <c r="G558" s="172">
        <v>3</v>
      </c>
      <c r="H558" s="92">
        <v>834.2</v>
      </c>
      <c r="I558" s="92">
        <v>465.6</v>
      </c>
      <c r="J558" s="92">
        <v>465.6</v>
      </c>
      <c r="K558" s="172">
        <v>35</v>
      </c>
      <c r="L558" s="88">
        <v>30025</v>
      </c>
      <c r="M558" s="88">
        <v>0</v>
      </c>
      <c r="N558" s="88">
        <v>9007</v>
      </c>
      <c r="O558" s="88">
        <v>21018</v>
      </c>
      <c r="P558" s="88">
        <v>0</v>
      </c>
      <c r="Q558" s="92">
        <v>65</v>
      </c>
      <c r="R558" s="100">
        <v>6774</v>
      </c>
      <c r="S558" s="103">
        <v>42735</v>
      </c>
    </row>
    <row r="559" spans="1:19" s="1" customFormat="1" ht="15.75">
      <c r="A559" s="91">
        <f t="shared" si="170"/>
        <v>445</v>
      </c>
      <c r="B559" s="142" t="s">
        <v>114</v>
      </c>
      <c r="C559" s="172">
        <v>1978</v>
      </c>
      <c r="D559" s="172"/>
      <c r="E559" s="98" t="s">
        <v>145</v>
      </c>
      <c r="F559" s="172">
        <v>2</v>
      </c>
      <c r="G559" s="172">
        <v>2</v>
      </c>
      <c r="H559" s="92">
        <v>754.3</v>
      </c>
      <c r="I559" s="92">
        <v>479.2</v>
      </c>
      <c r="J559" s="92">
        <v>479.2</v>
      </c>
      <c r="K559" s="172">
        <v>30</v>
      </c>
      <c r="L559" s="88">
        <v>26793</v>
      </c>
      <c r="M559" s="88">
        <v>0</v>
      </c>
      <c r="N559" s="88">
        <v>8038</v>
      </c>
      <c r="O559" s="88">
        <v>18755</v>
      </c>
      <c r="P559" s="88">
        <v>0</v>
      </c>
      <c r="Q559" s="92">
        <v>56</v>
      </c>
      <c r="R559" s="100">
        <v>6774</v>
      </c>
      <c r="S559" s="103">
        <v>42735</v>
      </c>
    </row>
    <row r="560" spans="1:19" s="1" customFormat="1" ht="15.75">
      <c r="A560" s="91">
        <f t="shared" si="170"/>
        <v>446</v>
      </c>
      <c r="B560" s="142" t="s">
        <v>327</v>
      </c>
      <c r="C560" s="172">
        <v>1984</v>
      </c>
      <c r="D560" s="172"/>
      <c r="E560" s="98" t="s">
        <v>145</v>
      </c>
      <c r="F560" s="172">
        <v>2</v>
      </c>
      <c r="G560" s="172">
        <v>2</v>
      </c>
      <c r="H560" s="92">
        <v>744.2</v>
      </c>
      <c r="I560" s="92">
        <v>490.3</v>
      </c>
      <c r="J560" s="92">
        <v>490.3</v>
      </c>
      <c r="K560" s="172">
        <v>29</v>
      </c>
      <c r="L560" s="88">
        <v>31242</v>
      </c>
      <c r="M560" s="88">
        <v>0</v>
      </c>
      <c r="N560" s="88">
        <v>9372</v>
      </c>
      <c r="O560" s="88">
        <v>21870</v>
      </c>
      <c r="P560" s="88">
        <v>0</v>
      </c>
      <c r="Q560" s="92">
        <v>64</v>
      </c>
      <c r="R560" s="100">
        <v>6774</v>
      </c>
      <c r="S560" s="103">
        <v>42735</v>
      </c>
    </row>
    <row r="561" spans="1:19" s="1" customFormat="1" ht="31.5">
      <c r="A561" s="91">
        <f t="shared" si="170"/>
        <v>447</v>
      </c>
      <c r="B561" s="142" t="s">
        <v>303</v>
      </c>
      <c r="C561" s="172">
        <v>1972</v>
      </c>
      <c r="D561" s="172"/>
      <c r="E561" s="98" t="s">
        <v>143</v>
      </c>
      <c r="F561" s="172" t="s">
        <v>78</v>
      </c>
      <c r="G561" s="172" t="s">
        <v>78</v>
      </c>
      <c r="H561" s="92" t="s">
        <v>79</v>
      </c>
      <c r="I561" s="92" t="s">
        <v>138</v>
      </c>
      <c r="J561" s="92" t="s">
        <v>138</v>
      </c>
      <c r="K561" s="172" t="s">
        <v>80</v>
      </c>
      <c r="L561" s="88">
        <v>397518</v>
      </c>
      <c r="M561" s="88">
        <v>0</v>
      </c>
      <c r="N561" s="88">
        <v>119255</v>
      </c>
      <c r="O561" s="88">
        <v>278263</v>
      </c>
      <c r="P561" s="88">
        <v>0</v>
      </c>
      <c r="Q561" s="92">
        <v>1388</v>
      </c>
      <c r="R561" s="100">
        <v>6774</v>
      </c>
      <c r="S561" s="103">
        <v>42735</v>
      </c>
    </row>
    <row r="562" spans="1:19" s="1" customFormat="1" ht="31.5">
      <c r="A562" s="91">
        <f t="shared" si="170"/>
        <v>448</v>
      </c>
      <c r="B562" s="142" t="s">
        <v>551</v>
      </c>
      <c r="C562" s="172">
        <v>1973</v>
      </c>
      <c r="D562" s="172"/>
      <c r="E562" s="98" t="s">
        <v>143</v>
      </c>
      <c r="F562" s="172">
        <v>2</v>
      </c>
      <c r="G562" s="172">
        <v>2</v>
      </c>
      <c r="H562" s="92">
        <v>491.3</v>
      </c>
      <c r="I562" s="92">
        <v>286.8</v>
      </c>
      <c r="J562" s="92">
        <v>286.8</v>
      </c>
      <c r="K562" s="172">
        <v>30</v>
      </c>
      <c r="L562" s="88">
        <v>18700</v>
      </c>
      <c r="M562" s="88">
        <v>0</v>
      </c>
      <c r="N562" s="88">
        <v>3740</v>
      </c>
      <c r="O562" s="88">
        <v>14960</v>
      </c>
      <c r="P562" s="88">
        <v>0</v>
      </c>
      <c r="Q562" s="92">
        <v>66</v>
      </c>
      <c r="R562" s="100">
        <v>6774</v>
      </c>
      <c r="S562" s="103">
        <v>42735</v>
      </c>
    </row>
    <row r="563" spans="1:19" s="1" customFormat="1" ht="31.5">
      <c r="A563" s="91">
        <f t="shared" si="170"/>
        <v>449</v>
      </c>
      <c r="B563" s="142" t="s">
        <v>323</v>
      </c>
      <c r="C563" s="172">
        <v>1976</v>
      </c>
      <c r="D563" s="172"/>
      <c r="E563" s="98" t="s">
        <v>143</v>
      </c>
      <c r="F563" s="172">
        <v>2</v>
      </c>
      <c r="G563" s="172">
        <v>2</v>
      </c>
      <c r="H563" s="92">
        <v>782.8</v>
      </c>
      <c r="I563" s="92">
        <v>421.6</v>
      </c>
      <c r="J563" s="92">
        <v>421.6</v>
      </c>
      <c r="K563" s="172">
        <v>41</v>
      </c>
      <c r="L563" s="88">
        <v>27896</v>
      </c>
      <c r="M563" s="88">
        <v>0</v>
      </c>
      <c r="N563" s="88">
        <v>5579</v>
      </c>
      <c r="O563" s="88">
        <v>22317</v>
      </c>
      <c r="P563" s="88">
        <v>0</v>
      </c>
      <c r="Q563" s="92">
        <v>67</v>
      </c>
      <c r="R563" s="100">
        <v>6774</v>
      </c>
      <c r="S563" s="103">
        <v>42735</v>
      </c>
    </row>
    <row r="564" spans="1:19" s="1" customFormat="1" ht="31.5">
      <c r="A564" s="91">
        <f t="shared" si="170"/>
        <v>450</v>
      </c>
      <c r="B564" s="142" t="s">
        <v>304</v>
      </c>
      <c r="C564" s="172">
        <v>1975</v>
      </c>
      <c r="D564" s="172"/>
      <c r="E564" s="98" t="s">
        <v>143</v>
      </c>
      <c r="F564" s="172" t="s">
        <v>78</v>
      </c>
      <c r="G564" s="172" t="s">
        <v>81</v>
      </c>
      <c r="H564" s="92" t="s">
        <v>82</v>
      </c>
      <c r="I564" s="92" t="s">
        <v>139</v>
      </c>
      <c r="J564" s="92" t="s">
        <v>139</v>
      </c>
      <c r="K564" s="172" t="s">
        <v>141</v>
      </c>
      <c r="L564" s="88">
        <v>696127</v>
      </c>
      <c r="M564" s="88">
        <v>0</v>
      </c>
      <c r="N564" s="88">
        <v>139225</v>
      </c>
      <c r="O564" s="88">
        <v>556902</v>
      </c>
      <c r="P564" s="88">
        <v>0</v>
      </c>
      <c r="Q564" s="92">
        <v>1708</v>
      </c>
      <c r="R564" s="100">
        <v>6774</v>
      </c>
      <c r="S564" s="103">
        <v>42735</v>
      </c>
    </row>
    <row r="565" spans="1:19" s="1" customFormat="1" ht="31.5">
      <c r="A565" s="91">
        <f t="shared" si="170"/>
        <v>451</v>
      </c>
      <c r="B565" s="142" t="s">
        <v>305</v>
      </c>
      <c r="C565" s="172">
        <v>1973</v>
      </c>
      <c r="D565" s="172"/>
      <c r="E565" s="98" t="s">
        <v>143</v>
      </c>
      <c r="F565" s="172" t="s">
        <v>78</v>
      </c>
      <c r="G565" s="172" t="s">
        <v>78</v>
      </c>
      <c r="H565" s="92" t="s">
        <v>83</v>
      </c>
      <c r="I565" s="92">
        <v>380</v>
      </c>
      <c r="J565" s="92">
        <v>380</v>
      </c>
      <c r="K565" s="172">
        <v>21</v>
      </c>
      <c r="L565" s="88">
        <v>485092</v>
      </c>
      <c r="M565" s="88">
        <v>0</v>
      </c>
      <c r="N565" s="88">
        <v>97018</v>
      </c>
      <c r="O565" s="88">
        <v>388074</v>
      </c>
      <c r="P565" s="88">
        <v>0</v>
      </c>
      <c r="Q565" s="92">
        <v>1277</v>
      </c>
      <c r="R565" s="100">
        <v>6774</v>
      </c>
      <c r="S565" s="103">
        <v>42735</v>
      </c>
    </row>
    <row r="566" spans="1:19" s="1" customFormat="1" ht="31.5">
      <c r="A566" s="91">
        <f t="shared" si="170"/>
        <v>452</v>
      </c>
      <c r="B566" s="142" t="s">
        <v>306</v>
      </c>
      <c r="C566" s="172">
        <v>1973</v>
      </c>
      <c r="D566" s="172"/>
      <c r="E566" s="98" t="s">
        <v>143</v>
      </c>
      <c r="F566" s="172" t="s">
        <v>78</v>
      </c>
      <c r="G566" s="172" t="s">
        <v>78</v>
      </c>
      <c r="H566" s="92" t="s">
        <v>84</v>
      </c>
      <c r="I566" s="92" t="s">
        <v>85</v>
      </c>
      <c r="J566" s="92" t="s">
        <v>85</v>
      </c>
      <c r="K566" s="172" t="s">
        <v>142</v>
      </c>
      <c r="L566" s="88">
        <v>482955</v>
      </c>
      <c r="M566" s="88">
        <v>0</v>
      </c>
      <c r="N566" s="88">
        <v>96591</v>
      </c>
      <c r="O566" s="88">
        <v>386364</v>
      </c>
      <c r="P566" s="88">
        <v>0</v>
      </c>
      <c r="Q566" s="92">
        <v>1014</v>
      </c>
      <c r="R566" s="100">
        <v>6774</v>
      </c>
      <c r="S566" s="103">
        <v>42735</v>
      </c>
    </row>
    <row r="567" spans="1:19" s="1" customFormat="1" ht="31.5">
      <c r="A567" s="91">
        <f t="shared" si="170"/>
        <v>453</v>
      </c>
      <c r="B567" s="142" t="s">
        <v>337</v>
      </c>
      <c r="C567" s="172">
        <v>1974</v>
      </c>
      <c r="D567" s="172"/>
      <c r="E567" s="98" t="s">
        <v>143</v>
      </c>
      <c r="F567" s="172">
        <v>2</v>
      </c>
      <c r="G567" s="172">
        <v>2</v>
      </c>
      <c r="H567" s="92">
        <v>744.5</v>
      </c>
      <c r="I567" s="92">
        <v>491.3</v>
      </c>
      <c r="J567" s="92">
        <v>491.3</v>
      </c>
      <c r="K567" s="172">
        <v>25</v>
      </c>
      <c r="L567" s="88">
        <v>19324</v>
      </c>
      <c r="M567" s="88">
        <v>0</v>
      </c>
      <c r="N567" s="88">
        <v>5797</v>
      </c>
      <c r="O567" s="88">
        <v>13527</v>
      </c>
      <c r="P567" s="88">
        <v>0</v>
      </c>
      <c r="Q567" s="92">
        <v>40</v>
      </c>
      <c r="R567" s="100">
        <v>6774</v>
      </c>
      <c r="S567" s="103">
        <v>42735</v>
      </c>
    </row>
    <row r="568" spans="1:19" s="1" customFormat="1" ht="31.5">
      <c r="A568" s="91">
        <f t="shared" si="170"/>
        <v>454</v>
      </c>
      <c r="B568" s="142" t="s">
        <v>338</v>
      </c>
      <c r="C568" s="172">
        <v>1975</v>
      </c>
      <c r="D568" s="172"/>
      <c r="E568" s="98" t="s">
        <v>143</v>
      </c>
      <c r="F568" s="172">
        <v>2</v>
      </c>
      <c r="G568" s="172">
        <v>2</v>
      </c>
      <c r="H568" s="92">
        <v>713.7</v>
      </c>
      <c r="I568" s="92">
        <v>470.8</v>
      </c>
      <c r="J568" s="92">
        <v>470.8</v>
      </c>
      <c r="K568" s="172">
        <v>35</v>
      </c>
      <c r="L568" s="88">
        <v>19064</v>
      </c>
      <c r="M568" s="88">
        <v>0</v>
      </c>
      <c r="N568" s="88">
        <v>5719</v>
      </c>
      <c r="O568" s="88">
        <v>13345</v>
      </c>
      <c r="P568" s="88">
        <v>0</v>
      </c>
      <c r="Q568" s="92">
        <v>41</v>
      </c>
      <c r="R568" s="100">
        <v>6774</v>
      </c>
      <c r="S568" s="103">
        <v>42735</v>
      </c>
    </row>
    <row r="569" spans="1:19" s="1" customFormat="1" ht="31.5">
      <c r="A569" s="91">
        <f t="shared" si="170"/>
        <v>455</v>
      </c>
      <c r="B569" s="142" t="s">
        <v>339</v>
      </c>
      <c r="C569" s="172">
        <v>1978</v>
      </c>
      <c r="D569" s="172"/>
      <c r="E569" s="98" t="s">
        <v>143</v>
      </c>
      <c r="F569" s="172">
        <v>2</v>
      </c>
      <c r="G569" s="172">
        <v>2</v>
      </c>
      <c r="H569" s="92">
        <v>730</v>
      </c>
      <c r="I569" s="92">
        <v>471</v>
      </c>
      <c r="J569" s="92">
        <v>471</v>
      </c>
      <c r="K569" s="172">
        <v>33</v>
      </c>
      <c r="L569" s="88">
        <v>19170</v>
      </c>
      <c r="M569" s="88">
        <v>0</v>
      </c>
      <c r="N569" s="88">
        <v>5751</v>
      </c>
      <c r="O569" s="88">
        <v>13419</v>
      </c>
      <c r="P569" s="88">
        <v>0</v>
      </c>
      <c r="Q569" s="92">
        <v>41</v>
      </c>
      <c r="R569" s="100">
        <v>6774</v>
      </c>
      <c r="S569" s="103">
        <v>42735</v>
      </c>
    </row>
    <row r="570" spans="1:19" s="1" customFormat="1" ht="31.5">
      <c r="A570" s="91">
        <f t="shared" si="170"/>
        <v>456</v>
      </c>
      <c r="B570" s="142" t="s">
        <v>340</v>
      </c>
      <c r="C570" s="172">
        <v>1978</v>
      </c>
      <c r="D570" s="172"/>
      <c r="E570" s="98" t="s">
        <v>143</v>
      </c>
      <c r="F570" s="172">
        <v>2</v>
      </c>
      <c r="G570" s="172">
        <v>2</v>
      </c>
      <c r="H570" s="92">
        <v>735.4</v>
      </c>
      <c r="I570" s="92">
        <v>483.1</v>
      </c>
      <c r="J570" s="92">
        <v>483.1</v>
      </c>
      <c r="K570" s="172">
        <v>30</v>
      </c>
      <c r="L570" s="88">
        <v>19278</v>
      </c>
      <c r="M570" s="88">
        <v>0</v>
      </c>
      <c r="N570" s="88">
        <v>5783</v>
      </c>
      <c r="O570" s="88">
        <v>13495</v>
      </c>
      <c r="P570" s="88">
        <v>0</v>
      </c>
      <c r="Q570" s="92">
        <v>40</v>
      </c>
      <c r="R570" s="100">
        <v>6774</v>
      </c>
      <c r="S570" s="103">
        <v>42735</v>
      </c>
    </row>
    <row r="571" spans="1:19" s="1" customFormat="1" ht="31.5">
      <c r="A571" s="91">
        <f t="shared" si="170"/>
        <v>457</v>
      </c>
      <c r="B571" s="142" t="s">
        <v>341</v>
      </c>
      <c r="C571" s="172">
        <v>1978</v>
      </c>
      <c r="D571" s="172"/>
      <c r="E571" s="98" t="s">
        <v>143</v>
      </c>
      <c r="F571" s="172">
        <v>2</v>
      </c>
      <c r="G571" s="172">
        <v>3</v>
      </c>
      <c r="H571" s="92">
        <v>1018.8</v>
      </c>
      <c r="I571" s="92">
        <v>583.1</v>
      </c>
      <c r="J571" s="92">
        <v>583.1</v>
      </c>
      <c r="K571" s="172">
        <v>45</v>
      </c>
      <c r="L571" s="88">
        <v>29240</v>
      </c>
      <c r="M571" s="88">
        <v>0</v>
      </c>
      <c r="N571" s="88">
        <v>8772</v>
      </c>
      <c r="O571" s="88">
        <v>20468</v>
      </c>
      <c r="P571" s="88">
        <v>0</v>
      </c>
      <c r="Q571" s="92">
        <v>51</v>
      </c>
      <c r="R571" s="100">
        <v>6774</v>
      </c>
      <c r="S571" s="103">
        <v>42735</v>
      </c>
    </row>
    <row r="572" spans="1:19" s="1" customFormat="1" ht="15.75">
      <c r="A572" s="91">
        <f t="shared" si="170"/>
        <v>458</v>
      </c>
      <c r="B572" s="142" t="s">
        <v>342</v>
      </c>
      <c r="C572" s="172">
        <v>1985</v>
      </c>
      <c r="D572" s="193"/>
      <c r="E572" s="98" t="s">
        <v>144</v>
      </c>
      <c r="F572" s="172">
        <v>3</v>
      </c>
      <c r="G572" s="172">
        <v>2</v>
      </c>
      <c r="H572" s="92">
        <v>758.8</v>
      </c>
      <c r="I572" s="92">
        <v>428.4</v>
      </c>
      <c r="J572" s="92">
        <v>428.4</v>
      </c>
      <c r="K572" s="172">
        <v>29</v>
      </c>
      <c r="L572" s="88">
        <v>31210</v>
      </c>
      <c r="M572" s="88">
        <v>0</v>
      </c>
      <c r="N572" s="88">
        <v>9363</v>
      </c>
      <c r="O572" s="88">
        <v>21847</v>
      </c>
      <c r="P572" s="88">
        <v>0</v>
      </c>
      <c r="Q572" s="92">
        <v>73</v>
      </c>
      <c r="R572" s="100">
        <v>6774</v>
      </c>
      <c r="S572" s="103">
        <v>42735</v>
      </c>
    </row>
    <row r="573" spans="1:19" s="1" customFormat="1" ht="31.5">
      <c r="A573" s="91">
        <f t="shared" si="170"/>
        <v>459</v>
      </c>
      <c r="B573" s="142" t="s">
        <v>343</v>
      </c>
      <c r="C573" s="172">
        <v>1985</v>
      </c>
      <c r="D573" s="193"/>
      <c r="E573" s="98" t="s">
        <v>143</v>
      </c>
      <c r="F573" s="172">
        <v>5</v>
      </c>
      <c r="G573" s="172">
        <v>4</v>
      </c>
      <c r="H573" s="92">
        <v>2561.6999999999998</v>
      </c>
      <c r="I573" s="92">
        <v>1162.9000000000001</v>
      </c>
      <c r="J573" s="92">
        <v>1162.9000000000001</v>
      </c>
      <c r="K573" s="172">
        <v>80</v>
      </c>
      <c r="L573" s="88">
        <v>114708</v>
      </c>
      <c r="M573" s="88">
        <v>0</v>
      </c>
      <c r="N573" s="88">
        <v>34412</v>
      </c>
      <c r="O573" s="88">
        <v>80296</v>
      </c>
      <c r="P573" s="88">
        <v>0</v>
      </c>
      <c r="Q573" s="92">
        <v>98</v>
      </c>
      <c r="R573" s="100">
        <v>6774</v>
      </c>
      <c r="S573" s="103">
        <v>42735</v>
      </c>
    </row>
    <row r="574" spans="1:19" s="1" customFormat="1" ht="31.5">
      <c r="A574" s="91">
        <f t="shared" si="170"/>
        <v>460</v>
      </c>
      <c r="B574" s="142" t="s">
        <v>547</v>
      </c>
      <c r="C574" s="172">
        <v>1994</v>
      </c>
      <c r="D574" s="172"/>
      <c r="E574" s="98" t="s">
        <v>143</v>
      </c>
      <c r="F574" s="172">
        <v>2</v>
      </c>
      <c r="G574" s="172">
        <v>1</v>
      </c>
      <c r="H574" s="92">
        <v>348</v>
      </c>
      <c r="I574" s="92">
        <v>204.6</v>
      </c>
      <c r="J574" s="92">
        <v>204.6</v>
      </c>
      <c r="K574" s="172">
        <v>17</v>
      </c>
      <c r="L574" s="88">
        <v>9517</v>
      </c>
      <c r="M574" s="88">
        <v>0</v>
      </c>
      <c r="N574" s="88">
        <v>2855</v>
      </c>
      <c r="O574" s="88">
        <v>6662</v>
      </c>
      <c r="P574" s="88">
        <v>0</v>
      </c>
      <c r="Q574" s="92">
        <v>47</v>
      </c>
      <c r="R574" s="100">
        <v>6774</v>
      </c>
      <c r="S574" s="103">
        <v>42735</v>
      </c>
    </row>
    <row r="575" spans="1:19" s="1" customFormat="1" ht="15.75" customHeight="1">
      <c r="A575" s="91"/>
      <c r="B575" s="295" t="s">
        <v>658</v>
      </c>
      <c r="C575" s="295"/>
      <c r="D575" s="295"/>
      <c r="E575" s="295"/>
      <c r="F575" s="295"/>
      <c r="G575" s="295"/>
      <c r="H575" s="100">
        <f>SUM(H576:H580)</f>
        <v>3122.4</v>
      </c>
      <c r="I575" s="100">
        <f t="shared" ref="I575:P575" si="171">SUM(I576:I580)</f>
        <v>2882.1000000000004</v>
      </c>
      <c r="J575" s="100">
        <f t="shared" si="171"/>
        <v>2882.1000000000004</v>
      </c>
      <c r="K575" s="101">
        <f t="shared" si="171"/>
        <v>97</v>
      </c>
      <c r="L575" s="88">
        <f t="shared" si="171"/>
        <v>1436824</v>
      </c>
      <c r="M575" s="88">
        <f t="shared" si="171"/>
        <v>0</v>
      </c>
      <c r="N575" s="88">
        <f t="shared" si="171"/>
        <v>420648</v>
      </c>
      <c r="O575" s="88">
        <f t="shared" si="171"/>
        <v>1016176</v>
      </c>
      <c r="P575" s="88">
        <f t="shared" si="171"/>
        <v>0</v>
      </c>
      <c r="Q575" s="100" t="s">
        <v>40</v>
      </c>
      <c r="R575" s="97" t="s">
        <v>40</v>
      </c>
      <c r="S575" s="97" t="s">
        <v>40</v>
      </c>
    </row>
    <row r="576" spans="1:19" s="1" customFormat="1" ht="31.5">
      <c r="A576" s="91">
        <f>A574+1</f>
        <v>461</v>
      </c>
      <c r="B576" s="142" t="s">
        <v>94</v>
      </c>
      <c r="C576" s="91">
        <v>1984</v>
      </c>
      <c r="D576" s="91"/>
      <c r="E576" s="98" t="s">
        <v>143</v>
      </c>
      <c r="F576" s="91">
        <v>2</v>
      </c>
      <c r="G576" s="91">
        <v>1</v>
      </c>
      <c r="H576" s="92">
        <v>396.5</v>
      </c>
      <c r="I576" s="92">
        <v>362.7</v>
      </c>
      <c r="J576" s="92">
        <v>362.7</v>
      </c>
      <c r="K576" s="93">
        <v>11</v>
      </c>
      <c r="L576" s="88">
        <v>475713</v>
      </c>
      <c r="M576" s="88">
        <v>0</v>
      </c>
      <c r="N576" s="88">
        <v>142714</v>
      </c>
      <c r="O576" s="88">
        <v>332999</v>
      </c>
      <c r="P576" s="88">
        <v>0</v>
      </c>
      <c r="Q576" s="92">
        <v>1312</v>
      </c>
      <c r="R576" s="100">
        <v>6774</v>
      </c>
      <c r="S576" s="103">
        <v>42735</v>
      </c>
    </row>
    <row r="577" spans="1:19" s="1" customFormat="1" ht="31.5">
      <c r="A577" s="91">
        <f t="shared" si="170"/>
        <v>462</v>
      </c>
      <c r="B577" s="142" t="s">
        <v>93</v>
      </c>
      <c r="C577" s="91">
        <v>1981</v>
      </c>
      <c r="D577" s="91"/>
      <c r="E577" s="98" t="s">
        <v>143</v>
      </c>
      <c r="F577" s="91">
        <v>2</v>
      </c>
      <c r="G577" s="91">
        <v>1</v>
      </c>
      <c r="H577" s="92">
        <v>388.2</v>
      </c>
      <c r="I577" s="92">
        <v>356.7</v>
      </c>
      <c r="J577" s="92">
        <v>356.7</v>
      </c>
      <c r="K577" s="93">
        <v>12</v>
      </c>
      <c r="L577" s="88">
        <v>475713</v>
      </c>
      <c r="M577" s="88">
        <v>0</v>
      </c>
      <c r="N577" s="88">
        <v>142714</v>
      </c>
      <c r="O577" s="88">
        <v>332999</v>
      </c>
      <c r="P577" s="88">
        <v>0</v>
      </c>
      <c r="Q577" s="92">
        <v>1334</v>
      </c>
      <c r="R577" s="100">
        <v>6774</v>
      </c>
      <c r="S577" s="103">
        <v>42735</v>
      </c>
    </row>
    <row r="578" spans="1:19" s="1" customFormat="1" ht="31.5">
      <c r="A578" s="91">
        <f t="shared" si="170"/>
        <v>463</v>
      </c>
      <c r="B578" s="142" t="s">
        <v>96</v>
      </c>
      <c r="C578" s="91">
        <v>1975</v>
      </c>
      <c r="D578" s="91"/>
      <c r="E578" s="98" t="s">
        <v>143</v>
      </c>
      <c r="F578" s="91">
        <v>2</v>
      </c>
      <c r="G578" s="91">
        <v>2</v>
      </c>
      <c r="H578" s="92">
        <v>774.8</v>
      </c>
      <c r="I578" s="92">
        <v>716.5</v>
      </c>
      <c r="J578" s="92">
        <v>716.5</v>
      </c>
      <c r="K578" s="93">
        <v>27</v>
      </c>
      <c r="L578" s="88">
        <v>190699</v>
      </c>
      <c r="M578" s="88">
        <v>0</v>
      </c>
      <c r="N578" s="88">
        <v>57210</v>
      </c>
      <c r="O578" s="88">
        <v>133489</v>
      </c>
      <c r="P578" s="88">
        <v>0</v>
      </c>
      <c r="Q578" s="92">
        <v>267</v>
      </c>
      <c r="R578" s="100">
        <v>6774</v>
      </c>
      <c r="S578" s="103">
        <v>42735</v>
      </c>
    </row>
    <row r="579" spans="1:19" s="1" customFormat="1" ht="31.5">
      <c r="A579" s="91">
        <f t="shared" si="170"/>
        <v>464</v>
      </c>
      <c r="B579" s="142" t="s">
        <v>97</v>
      </c>
      <c r="C579" s="91">
        <v>1978</v>
      </c>
      <c r="D579" s="91"/>
      <c r="E579" s="98" t="s">
        <v>143</v>
      </c>
      <c r="F579" s="91">
        <v>2</v>
      </c>
      <c r="G579" s="91">
        <v>2</v>
      </c>
      <c r="H579" s="92">
        <v>795.8</v>
      </c>
      <c r="I579" s="92">
        <v>737</v>
      </c>
      <c r="J579" s="92">
        <v>737</v>
      </c>
      <c r="K579" s="93">
        <v>27</v>
      </c>
      <c r="L579" s="88">
        <v>104000</v>
      </c>
      <c r="M579" s="88">
        <v>0</v>
      </c>
      <c r="N579" s="88">
        <v>20800</v>
      </c>
      <c r="O579" s="88">
        <v>83200</v>
      </c>
      <c r="P579" s="88">
        <v>0</v>
      </c>
      <c r="Q579" s="92">
        <v>142</v>
      </c>
      <c r="R579" s="100">
        <v>6774</v>
      </c>
      <c r="S579" s="103">
        <v>42735</v>
      </c>
    </row>
    <row r="580" spans="1:19" s="1" customFormat="1" ht="31.5">
      <c r="A580" s="91">
        <f t="shared" si="170"/>
        <v>465</v>
      </c>
      <c r="B580" s="142" t="s">
        <v>95</v>
      </c>
      <c r="C580" s="91">
        <v>1971</v>
      </c>
      <c r="D580" s="91"/>
      <c r="E580" s="98" t="s">
        <v>143</v>
      </c>
      <c r="F580" s="91">
        <v>2</v>
      </c>
      <c r="G580" s="91">
        <v>2</v>
      </c>
      <c r="H580" s="194">
        <v>767.1</v>
      </c>
      <c r="I580" s="91">
        <v>709.2</v>
      </c>
      <c r="J580" s="91">
        <v>709.2</v>
      </c>
      <c r="K580" s="93">
        <v>20</v>
      </c>
      <c r="L580" s="88">
        <v>190699</v>
      </c>
      <c r="M580" s="88">
        <v>0</v>
      </c>
      <c r="N580" s="88">
        <v>57210</v>
      </c>
      <c r="O580" s="88">
        <v>133489</v>
      </c>
      <c r="P580" s="88">
        <v>0</v>
      </c>
      <c r="Q580" s="92">
        <v>269</v>
      </c>
      <c r="R580" s="100">
        <v>6774</v>
      </c>
      <c r="S580" s="103">
        <v>42735</v>
      </c>
    </row>
    <row r="581" spans="1:19" s="11" customFormat="1">
      <c r="A581" s="9"/>
      <c r="B581" s="14"/>
      <c r="C581" s="10"/>
      <c r="H581" s="52"/>
      <c r="K581" s="57"/>
      <c r="L581" s="35"/>
      <c r="N581" s="35"/>
      <c r="O581" s="35"/>
      <c r="Q581" s="35"/>
      <c r="R581" s="35"/>
    </row>
    <row r="582" spans="1:19" s="13" customFormat="1">
      <c r="A582" s="9"/>
      <c r="B582" s="66"/>
      <c r="C582" s="12"/>
      <c r="H582" s="53"/>
      <c r="K582" s="58"/>
      <c r="L582" s="36"/>
      <c r="N582" s="36"/>
      <c r="O582" s="36"/>
      <c r="Q582" s="36"/>
      <c r="R582" s="36"/>
    </row>
    <row r="583" spans="1:19" s="13" customFormat="1">
      <c r="A583" s="9"/>
      <c r="B583" s="66"/>
      <c r="C583" s="12"/>
      <c r="H583" s="53"/>
      <c r="K583" s="58"/>
      <c r="L583" s="36"/>
      <c r="N583" s="36"/>
      <c r="O583" s="36"/>
      <c r="Q583" s="36"/>
      <c r="R583" s="36"/>
    </row>
    <row r="584" spans="1:19" s="13" customFormat="1">
      <c r="A584" s="9"/>
      <c r="B584" s="66"/>
      <c r="C584" s="12"/>
      <c r="H584" s="53"/>
      <c r="K584" s="58"/>
      <c r="L584" s="36"/>
      <c r="N584" s="36"/>
      <c r="O584" s="36"/>
      <c r="Q584" s="36"/>
      <c r="R584" s="36"/>
    </row>
    <row r="585" spans="1:19" s="13" customFormat="1">
      <c r="A585" s="9"/>
      <c r="B585" s="66"/>
      <c r="C585" s="12"/>
      <c r="H585" s="53"/>
      <c r="K585" s="58"/>
      <c r="L585" s="36"/>
      <c r="N585" s="36"/>
      <c r="O585" s="36"/>
      <c r="Q585" s="36"/>
      <c r="R585" s="36"/>
    </row>
    <row r="586" spans="1:19" s="13" customFormat="1">
      <c r="A586" s="9"/>
      <c r="B586" s="66"/>
      <c r="C586" s="12"/>
      <c r="H586" s="53"/>
      <c r="K586" s="58"/>
      <c r="L586" s="36"/>
      <c r="N586" s="36"/>
      <c r="O586" s="36"/>
      <c r="Q586" s="36"/>
      <c r="R586" s="36"/>
    </row>
    <row r="587" spans="1:19" s="13" customFormat="1">
      <c r="A587" s="9"/>
      <c r="B587" s="66"/>
      <c r="C587" s="12"/>
      <c r="H587" s="53"/>
      <c r="K587" s="58"/>
      <c r="L587" s="36"/>
      <c r="N587" s="36"/>
      <c r="O587" s="36"/>
      <c r="Q587" s="36"/>
      <c r="R587" s="36"/>
    </row>
    <row r="588" spans="1:19" s="13" customFormat="1">
      <c r="A588" s="9"/>
      <c r="B588" s="66"/>
      <c r="C588" s="12"/>
      <c r="H588" s="53"/>
      <c r="K588" s="58"/>
      <c r="L588" s="36"/>
      <c r="N588" s="36"/>
      <c r="O588" s="36"/>
      <c r="Q588" s="36"/>
      <c r="R588" s="36"/>
    </row>
    <row r="589" spans="1:19" s="13" customFormat="1">
      <c r="A589" s="9"/>
      <c r="B589" s="66"/>
      <c r="C589" s="12"/>
      <c r="H589" s="53"/>
      <c r="K589" s="58"/>
      <c r="L589" s="36"/>
      <c r="N589" s="36"/>
      <c r="O589" s="36"/>
      <c r="Q589" s="36"/>
      <c r="R589" s="36"/>
    </row>
    <row r="590" spans="1:19" s="13" customFormat="1">
      <c r="A590" s="9"/>
      <c r="B590" s="66"/>
      <c r="C590" s="12"/>
      <c r="H590" s="53"/>
      <c r="K590" s="58"/>
      <c r="L590" s="36"/>
      <c r="N590" s="36"/>
      <c r="O590" s="36"/>
      <c r="Q590" s="36"/>
      <c r="R590" s="36"/>
    </row>
    <row r="591" spans="1:19" s="13" customFormat="1">
      <c r="A591" s="9"/>
      <c r="B591" s="66"/>
      <c r="C591" s="12"/>
      <c r="H591" s="53"/>
      <c r="K591" s="58"/>
      <c r="L591" s="36"/>
      <c r="N591" s="36"/>
      <c r="O591" s="36"/>
      <c r="Q591" s="36"/>
      <c r="R591" s="36"/>
    </row>
    <row r="592" spans="1:19" s="13" customFormat="1">
      <c r="A592" s="9"/>
      <c r="B592" s="66"/>
      <c r="C592" s="12"/>
      <c r="H592" s="53"/>
      <c r="K592" s="58"/>
      <c r="L592" s="36"/>
      <c r="N592" s="36"/>
      <c r="O592" s="36"/>
      <c r="Q592" s="36"/>
      <c r="R592" s="36"/>
    </row>
    <row r="593" spans="1:18" s="13" customFormat="1">
      <c r="A593" s="9"/>
      <c r="B593" s="66"/>
      <c r="C593" s="12"/>
      <c r="H593" s="53"/>
      <c r="K593" s="58"/>
      <c r="L593" s="36"/>
      <c r="N593" s="36"/>
      <c r="O593" s="36"/>
      <c r="Q593" s="36"/>
      <c r="R593" s="36"/>
    </row>
    <row r="594" spans="1:18" s="13" customFormat="1">
      <c r="A594" s="9"/>
      <c r="B594" s="66"/>
      <c r="C594" s="12"/>
      <c r="H594" s="53"/>
      <c r="K594" s="58"/>
      <c r="L594" s="36"/>
      <c r="N594" s="36"/>
      <c r="O594" s="36"/>
      <c r="Q594" s="36"/>
      <c r="R594" s="36"/>
    </row>
    <row r="595" spans="1:18" s="13" customFormat="1">
      <c r="A595" s="9"/>
      <c r="B595" s="66"/>
      <c r="C595" s="12"/>
      <c r="H595" s="53"/>
      <c r="K595" s="58"/>
      <c r="L595" s="36"/>
      <c r="N595" s="36"/>
      <c r="O595" s="36"/>
      <c r="Q595" s="36"/>
      <c r="R595" s="36"/>
    </row>
    <row r="596" spans="1:18" s="13" customFormat="1">
      <c r="A596" s="9"/>
      <c r="B596" s="66"/>
      <c r="C596" s="12"/>
      <c r="H596" s="53"/>
      <c r="K596" s="58"/>
      <c r="L596" s="36"/>
      <c r="N596" s="36"/>
      <c r="O596" s="36"/>
      <c r="Q596" s="36"/>
      <c r="R596" s="36"/>
    </row>
    <row r="597" spans="1:18" s="13" customFormat="1">
      <c r="A597" s="9"/>
      <c r="B597" s="66"/>
      <c r="C597" s="12"/>
      <c r="H597" s="53"/>
      <c r="K597" s="58"/>
      <c r="L597" s="36"/>
      <c r="N597" s="36"/>
      <c r="O597" s="36"/>
      <c r="Q597" s="36"/>
      <c r="R597" s="36"/>
    </row>
    <row r="598" spans="1:18" s="13" customFormat="1">
      <c r="A598" s="9"/>
      <c r="B598" s="66"/>
      <c r="C598" s="12"/>
      <c r="H598" s="53"/>
      <c r="K598" s="58"/>
      <c r="L598" s="36"/>
      <c r="N598" s="36"/>
      <c r="O598" s="36"/>
      <c r="Q598" s="36"/>
      <c r="R598" s="36"/>
    </row>
    <row r="599" spans="1:18" s="13" customFormat="1">
      <c r="A599" s="9"/>
      <c r="B599" s="66"/>
      <c r="C599" s="12"/>
      <c r="H599" s="53"/>
      <c r="K599" s="58"/>
      <c r="L599" s="36"/>
      <c r="N599" s="36"/>
      <c r="O599" s="36"/>
      <c r="Q599" s="36"/>
      <c r="R599" s="36"/>
    </row>
    <row r="600" spans="1:18" s="13" customFormat="1">
      <c r="A600" s="9"/>
      <c r="B600" s="66"/>
      <c r="C600" s="12"/>
      <c r="H600" s="53"/>
      <c r="K600" s="58"/>
      <c r="L600" s="36"/>
      <c r="N600" s="36"/>
      <c r="O600" s="36"/>
      <c r="Q600" s="36"/>
      <c r="R600" s="36"/>
    </row>
    <row r="601" spans="1:18" s="13" customFormat="1">
      <c r="A601" s="9"/>
      <c r="B601" s="66"/>
      <c r="C601" s="12"/>
      <c r="H601" s="53"/>
      <c r="K601" s="58"/>
      <c r="L601" s="36"/>
      <c r="N601" s="36"/>
      <c r="O601" s="36"/>
      <c r="Q601" s="36"/>
      <c r="R601" s="36"/>
    </row>
    <row r="602" spans="1:18" s="13" customFormat="1">
      <c r="A602" s="9"/>
      <c r="B602" s="66"/>
      <c r="C602" s="12"/>
      <c r="H602" s="53"/>
      <c r="K602" s="58"/>
      <c r="L602" s="36"/>
      <c r="N602" s="36"/>
      <c r="O602" s="36"/>
      <c r="Q602" s="36"/>
      <c r="R602" s="36"/>
    </row>
    <row r="603" spans="1:18" s="13" customFormat="1">
      <c r="A603" s="9"/>
      <c r="B603" s="66"/>
      <c r="C603" s="12"/>
      <c r="H603" s="53"/>
      <c r="K603" s="58"/>
      <c r="L603" s="36"/>
      <c r="N603" s="36"/>
      <c r="O603" s="36"/>
      <c r="Q603" s="36"/>
      <c r="R603" s="36"/>
    </row>
    <row r="604" spans="1:18" s="13" customFormat="1">
      <c r="A604" s="9"/>
      <c r="B604" s="66"/>
      <c r="C604" s="12"/>
      <c r="H604" s="53"/>
      <c r="K604" s="58"/>
      <c r="L604" s="36"/>
      <c r="N604" s="36"/>
      <c r="O604" s="36"/>
      <c r="Q604" s="36"/>
      <c r="R604" s="36"/>
    </row>
    <row r="605" spans="1:18" s="13" customFormat="1">
      <c r="A605" s="9"/>
      <c r="B605" s="66"/>
      <c r="C605" s="12"/>
      <c r="H605" s="53"/>
      <c r="K605" s="58"/>
      <c r="L605" s="36"/>
      <c r="N605" s="36"/>
      <c r="O605" s="36"/>
      <c r="Q605" s="36"/>
      <c r="R605" s="36"/>
    </row>
    <row r="606" spans="1:18" s="13" customFormat="1">
      <c r="A606" s="9"/>
      <c r="B606" s="66"/>
      <c r="C606" s="12"/>
      <c r="H606" s="53"/>
      <c r="K606" s="58"/>
      <c r="L606" s="36"/>
      <c r="N606" s="36"/>
      <c r="O606" s="36"/>
      <c r="Q606" s="36"/>
      <c r="R606" s="36"/>
    </row>
    <row r="607" spans="1:18" s="13" customFormat="1">
      <c r="A607" s="9"/>
      <c r="B607" s="66"/>
      <c r="C607" s="12"/>
      <c r="H607" s="53"/>
      <c r="K607" s="58"/>
      <c r="L607" s="36"/>
      <c r="N607" s="36"/>
      <c r="O607" s="36"/>
      <c r="Q607" s="36"/>
      <c r="R607" s="36"/>
    </row>
    <row r="608" spans="1:18" s="13" customFormat="1">
      <c r="A608" s="9"/>
      <c r="B608" s="66"/>
      <c r="C608" s="12"/>
      <c r="H608" s="53"/>
      <c r="K608" s="58"/>
      <c r="L608" s="36"/>
      <c r="N608" s="36"/>
      <c r="O608" s="36"/>
      <c r="Q608" s="36"/>
      <c r="R608" s="36"/>
    </row>
    <row r="609" spans="1:18" s="13" customFormat="1">
      <c r="A609" s="9"/>
      <c r="B609" s="66"/>
      <c r="C609" s="12"/>
      <c r="H609" s="53"/>
      <c r="K609" s="58"/>
      <c r="L609" s="36"/>
      <c r="N609" s="36"/>
      <c r="O609" s="36"/>
      <c r="Q609" s="36"/>
      <c r="R609" s="36"/>
    </row>
    <row r="610" spans="1:18" s="13" customFormat="1">
      <c r="A610" s="9"/>
      <c r="B610" s="66"/>
      <c r="C610" s="12"/>
      <c r="H610" s="53"/>
      <c r="K610" s="58"/>
      <c r="L610" s="36"/>
      <c r="N610" s="36"/>
      <c r="O610" s="36"/>
      <c r="Q610" s="36"/>
      <c r="R610" s="36"/>
    </row>
    <row r="611" spans="1:18" s="13" customFormat="1">
      <c r="A611" s="9"/>
      <c r="B611" s="66"/>
      <c r="C611" s="12"/>
      <c r="H611" s="53"/>
      <c r="K611" s="58"/>
      <c r="L611" s="36"/>
      <c r="N611" s="36"/>
      <c r="O611" s="36"/>
      <c r="Q611" s="36"/>
      <c r="R611" s="36"/>
    </row>
    <row r="612" spans="1:18" s="13" customFormat="1">
      <c r="A612" s="9"/>
      <c r="B612" s="66"/>
      <c r="C612" s="12"/>
      <c r="H612" s="53"/>
      <c r="K612" s="58"/>
      <c r="L612" s="36"/>
      <c r="N612" s="36"/>
      <c r="O612" s="36"/>
      <c r="Q612" s="36"/>
      <c r="R612" s="36"/>
    </row>
    <row r="613" spans="1:18" s="13" customFormat="1">
      <c r="A613" s="9"/>
      <c r="B613" s="66"/>
      <c r="C613" s="12"/>
      <c r="H613" s="53"/>
      <c r="K613" s="58"/>
      <c r="L613" s="36"/>
      <c r="N613" s="36"/>
      <c r="O613" s="36"/>
      <c r="Q613" s="36"/>
      <c r="R613" s="36"/>
    </row>
    <row r="614" spans="1:18" s="13" customFormat="1">
      <c r="A614" s="9"/>
      <c r="B614" s="66"/>
      <c r="C614" s="12"/>
      <c r="H614" s="53"/>
      <c r="K614" s="58"/>
      <c r="L614" s="36"/>
      <c r="N614" s="36"/>
      <c r="O614" s="36"/>
      <c r="Q614" s="36"/>
      <c r="R614" s="36"/>
    </row>
    <row r="615" spans="1:18">
      <c r="A615" s="8"/>
      <c r="B615" s="66"/>
      <c r="C615" s="12"/>
    </row>
    <row r="616" spans="1:18">
      <c r="A616" s="8"/>
      <c r="B616" s="66"/>
      <c r="C616" s="12"/>
    </row>
    <row r="617" spans="1:18">
      <c r="A617" s="8"/>
      <c r="B617" s="66"/>
      <c r="C617" s="12"/>
    </row>
    <row r="618" spans="1:18">
      <c r="A618" s="8"/>
      <c r="B618" s="66"/>
      <c r="C618" s="12"/>
    </row>
    <row r="619" spans="1:18">
      <c r="A619" s="8"/>
      <c r="B619" s="66"/>
      <c r="C619" s="12"/>
    </row>
    <row r="620" spans="1:18">
      <c r="A620" s="8"/>
      <c r="B620" s="66"/>
      <c r="C620" s="12"/>
    </row>
    <row r="621" spans="1:18">
      <c r="A621" s="8"/>
      <c r="B621" s="66"/>
      <c r="C621" s="12"/>
    </row>
    <row r="622" spans="1:18">
      <c r="A622" s="8"/>
      <c r="B622" s="66"/>
      <c r="C622" s="12"/>
    </row>
    <row r="623" spans="1:18">
      <c r="A623" s="8"/>
      <c r="B623" s="66"/>
      <c r="C623" s="12"/>
    </row>
    <row r="624" spans="1:18">
      <c r="A624" s="8"/>
      <c r="B624" s="66"/>
      <c r="C624" s="12"/>
    </row>
    <row r="625" spans="1:3">
      <c r="A625" s="8"/>
      <c r="B625" s="66"/>
      <c r="C625" s="12"/>
    </row>
    <row r="626" spans="1:3">
      <c r="A626" s="8"/>
      <c r="B626" s="66"/>
      <c r="C626" s="12"/>
    </row>
    <row r="627" spans="1:3">
      <c r="A627" s="8"/>
      <c r="B627" s="66"/>
      <c r="C627" s="12"/>
    </row>
    <row r="628" spans="1:3">
      <c r="A628" s="8"/>
      <c r="B628" s="66"/>
      <c r="C628" s="12"/>
    </row>
    <row r="629" spans="1:3">
      <c r="A629" s="8"/>
      <c r="B629" s="66"/>
      <c r="C629" s="12"/>
    </row>
    <row r="630" spans="1:3">
      <c r="A630" s="8"/>
      <c r="B630" s="66"/>
      <c r="C630" s="12"/>
    </row>
    <row r="631" spans="1:3">
      <c r="A631" s="8"/>
      <c r="B631" s="66"/>
      <c r="C631" s="12"/>
    </row>
    <row r="632" spans="1:3">
      <c r="A632" s="8"/>
      <c r="B632" s="66"/>
      <c r="C632" s="12"/>
    </row>
    <row r="633" spans="1:3">
      <c r="A633" s="8"/>
      <c r="B633" s="66"/>
      <c r="C633" s="12"/>
    </row>
    <row r="634" spans="1:3">
      <c r="A634" s="8"/>
      <c r="B634" s="66"/>
      <c r="C634" s="12"/>
    </row>
    <row r="635" spans="1:3">
      <c r="A635" s="8"/>
      <c r="B635" s="67"/>
      <c r="C635" s="34"/>
    </row>
    <row r="636" spans="1:3">
      <c r="A636" s="8"/>
      <c r="B636" s="67"/>
      <c r="C636" s="34"/>
    </row>
    <row r="637" spans="1:3">
      <c r="A637" s="8"/>
      <c r="B637" s="67"/>
      <c r="C637" s="34"/>
    </row>
    <row r="638" spans="1:3">
      <c r="A638" s="8"/>
      <c r="B638" s="67"/>
      <c r="C638" s="34"/>
    </row>
    <row r="639" spans="1:3">
      <c r="A639" s="8"/>
      <c r="B639" s="66"/>
      <c r="C639" s="12"/>
    </row>
    <row r="640" spans="1:3">
      <c r="A640" s="8"/>
      <c r="B640" s="66"/>
      <c r="C640" s="12"/>
    </row>
    <row r="641" spans="1:3">
      <c r="A641" s="8"/>
      <c r="B641" s="66"/>
      <c r="C641" s="12"/>
    </row>
    <row r="642" spans="1:3">
      <c r="A642" s="8"/>
      <c r="B642" s="66"/>
      <c r="C642" s="12"/>
    </row>
    <row r="643" spans="1:3">
      <c r="A643" s="8"/>
      <c r="B643" s="66"/>
      <c r="C643" s="12"/>
    </row>
    <row r="644" spans="1:3">
      <c r="A644" s="8"/>
      <c r="B644" s="66"/>
      <c r="C644" s="12"/>
    </row>
    <row r="645" spans="1:3">
      <c r="A645" s="8"/>
      <c r="B645" s="66"/>
      <c r="C645" s="12"/>
    </row>
    <row r="646" spans="1:3">
      <c r="A646" s="8"/>
      <c r="B646" s="66"/>
      <c r="C646" s="12"/>
    </row>
    <row r="647" spans="1:3">
      <c r="A647" s="8"/>
      <c r="B647" s="66"/>
      <c r="C647" s="12"/>
    </row>
    <row r="648" spans="1:3">
      <c r="A648" s="8"/>
      <c r="B648" s="66"/>
      <c r="C648" s="12"/>
    </row>
    <row r="649" spans="1:3">
      <c r="A649" s="8"/>
      <c r="B649" s="66"/>
      <c r="C649" s="12"/>
    </row>
    <row r="650" spans="1:3">
      <c r="A650" s="8"/>
      <c r="B650" s="66"/>
      <c r="C650" s="12"/>
    </row>
    <row r="651" spans="1:3">
      <c r="A651" s="8"/>
      <c r="B651" s="66"/>
      <c r="C651" s="12"/>
    </row>
    <row r="652" spans="1:3">
      <c r="A652" s="8"/>
      <c r="B652" s="66"/>
      <c r="C652" s="12"/>
    </row>
    <row r="653" spans="1:3">
      <c r="A653" s="8"/>
      <c r="B653" s="66"/>
      <c r="C653" s="12"/>
    </row>
    <row r="654" spans="1:3">
      <c r="A654" s="8"/>
      <c r="B654" s="66"/>
      <c r="C654" s="12"/>
    </row>
    <row r="655" spans="1:3">
      <c r="A655" s="8"/>
      <c r="B655" s="66"/>
      <c r="C655" s="12"/>
    </row>
    <row r="656" spans="1:3">
      <c r="A656" s="8"/>
      <c r="B656" s="66"/>
      <c r="C656" s="12"/>
    </row>
    <row r="657" spans="1:3">
      <c r="A657" s="8"/>
      <c r="B657" s="67"/>
      <c r="C657" s="34"/>
    </row>
    <row r="658" spans="1:3">
      <c r="A658" s="8"/>
      <c r="B658" s="67"/>
      <c r="C658" s="34"/>
    </row>
    <row r="659" spans="1:3">
      <c r="A659" s="8"/>
      <c r="B659" s="66"/>
      <c r="C659" s="12"/>
    </row>
    <row r="660" spans="1:3">
      <c r="A660" s="8"/>
      <c r="B660" s="66"/>
      <c r="C660" s="12"/>
    </row>
    <row r="661" spans="1:3">
      <c r="A661" s="8"/>
      <c r="B661" s="67"/>
      <c r="C661" s="34"/>
    </row>
    <row r="662" spans="1:3">
      <c r="A662" s="8"/>
      <c r="B662" s="67"/>
      <c r="C662" s="34"/>
    </row>
    <row r="663" spans="1:3">
      <c r="A663" s="8"/>
      <c r="B663" s="67"/>
      <c r="C663" s="34"/>
    </row>
    <row r="664" spans="1:3">
      <c r="A664" s="8"/>
      <c r="B664" s="67"/>
      <c r="C664" s="34"/>
    </row>
    <row r="665" spans="1:3">
      <c r="A665" s="8"/>
      <c r="B665" s="67"/>
      <c r="C665" s="34"/>
    </row>
    <row r="666" spans="1:3">
      <c r="A666" s="8"/>
      <c r="B666" s="67"/>
      <c r="C666" s="34"/>
    </row>
    <row r="667" spans="1:3">
      <c r="A667" s="8"/>
      <c r="B667" s="67"/>
      <c r="C667" s="34"/>
    </row>
    <row r="668" spans="1:3">
      <c r="A668" s="8"/>
      <c r="B668" s="67"/>
      <c r="C668" s="34"/>
    </row>
    <row r="669" spans="1:3">
      <c r="A669" s="8"/>
      <c r="B669" s="67"/>
      <c r="C669" s="34"/>
    </row>
    <row r="670" spans="1:3">
      <c r="A670" s="8"/>
      <c r="B670" s="67"/>
      <c r="C670" s="34"/>
    </row>
    <row r="671" spans="1:3">
      <c r="A671" s="8"/>
      <c r="B671" s="67"/>
      <c r="C671" s="34"/>
    </row>
    <row r="672" spans="1:3">
      <c r="A672" s="8"/>
      <c r="B672" s="67"/>
      <c r="C672" s="34"/>
    </row>
    <row r="673" spans="1:3">
      <c r="A673" s="8"/>
      <c r="B673" s="67"/>
      <c r="C673" s="34"/>
    </row>
    <row r="674" spans="1:3">
      <c r="A674" s="8"/>
      <c r="B674" s="67"/>
      <c r="C674" s="34"/>
    </row>
    <row r="675" spans="1:3">
      <c r="A675" s="8"/>
      <c r="B675" s="67"/>
      <c r="C675" s="34"/>
    </row>
    <row r="676" spans="1:3">
      <c r="A676" s="8"/>
      <c r="B676" s="67"/>
      <c r="C676" s="34"/>
    </row>
    <row r="677" spans="1:3">
      <c r="A677" s="8"/>
      <c r="B677" s="67"/>
      <c r="C677" s="34"/>
    </row>
    <row r="678" spans="1:3">
      <c r="A678" s="8"/>
      <c r="B678" s="67"/>
      <c r="C678" s="34"/>
    </row>
    <row r="679" spans="1:3">
      <c r="A679" s="8"/>
      <c r="B679" s="67"/>
      <c r="C679" s="34"/>
    </row>
    <row r="680" spans="1:3">
      <c r="A680" s="8"/>
      <c r="B680" s="67"/>
      <c r="C680" s="34"/>
    </row>
    <row r="681" spans="1:3">
      <c r="A681" s="8"/>
      <c r="B681" s="67"/>
      <c r="C681" s="34"/>
    </row>
    <row r="682" spans="1:3">
      <c r="A682" s="8"/>
      <c r="B682" s="67"/>
      <c r="C682" s="34"/>
    </row>
    <row r="683" spans="1:3">
      <c r="A683" s="8"/>
      <c r="B683" s="67"/>
      <c r="C683" s="34"/>
    </row>
    <row r="684" spans="1:3">
      <c r="A684" s="8"/>
      <c r="B684" s="67"/>
      <c r="C684" s="34"/>
    </row>
    <row r="685" spans="1:3">
      <c r="A685" s="8"/>
      <c r="B685" s="67"/>
      <c r="C685" s="34"/>
    </row>
    <row r="686" spans="1:3">
      <c r="A686" s="8"/>
      <c r="B686" s="67"/>
      <c r="C686" s="34"/>
    </row>
    <row r="687" spans="1:3">
      <c r="A687" s="8"/>
      <c r="B687" s="67"/>
      <c r="C687" s="34"/>
    </row>
    <row r="688" spans="1:3">
      <c r="A688" s="8"/>
      <c r="B688" s="67"/>
      <c r="C688" s="34"/>
    </row>
    <row r="689" spans="1:13">
      <c r="A689" s="8"/>
      <c r="B689" s="67"/>
      <c r="C689" s="34"/>
    </row>
    <row r="690" spans="1:13">
      <c r="A690" s="8"/>
      <c r="B690" s="67"/>
      <c r="C690" s="34"/>
    </row>
    <row r="691" spans="1:13">
      <c r="A691" s="8"/>
      <c r="B691" s="67"/>
      <c r="C691" s="34"/>
    </row>
    <row r="692" spans="1:13">
      <c r="A692" s="8"/>
      <c r="B692" s="67"/>
      <c r="C692" s="34"/>
    </row>
    <row r="693" spans="1:13">
      <c r="A693" s="8"/>
      <c r="B693" s="67"/>
      <c r="C693" s="34"/>
    </row>
    <row r="694" spans="1:13">
      <c r="A694" s="8"/>
      <c r="B694" s="67"/>
      <c r="C694" s="34"/>
    </row>
    <row r="695" spans="1:13">
      <c r="A695" s="8"/>
      <c r="B695" s="17"/>
    </row>
    <row r="702" spans="1:13">
      <c r="M702" s="33"/>
    </row>
  </sheetData>
  <autoFilter ref="A14:S580"/>
  <sortState ref="B20:AZ187">
    <sortCondition ref="B20:B187"/>
  </sortState>
  <mergeCells count="129">
    <mergeCell ref="B481:G481"/>
    <mergeCell ref="B498:G498"/>
    <mergeCell ref="B467:G467"/>
    <mergeCell ref="B466:G466"/>
    <mergeCell ref="B470:G470"/>
    <mergeCell ref="B477:G477"/>
    <mergeCell ref="B476:G476"/>
    <mergeCell ref="B479:G479"/>
    <mergeCell ref="B441:G441"/>
    <mergeCell ref="B451:G451"/>
    <mergeCell ref="B452:G452"/>
    <mergeCell ref="B457:G457"/>
    <mergeCell ref="B458:G458"/>
    <mergeCell ref="B499:G499"/>
    <mergeCell ref="B501:G501"/>
    <mergeCell ref="B504:G504"/>
    <mergeCell ref="B506:G506"/>
    <mergeCell ref="B353:G353"/>
    <mergeCell ref="B370:G370"/>
    <mergeCell ref="B369:G369"/>
    <mergeCell ref="B378:G378"/>
    <mergeCell ref="B389:G389"/>
    <mergeCell ref="B391:G391"/>
    <mergeCell ref="B401:G401"/>
    <mergeCell ref="B403:G403"/>
    <mergeCell ref="B405:G405"/>
    <mergeCell ref="B410:G410"/>
    <mergeCell ref="B411:G411"/>
    <mergeCell ref="B416:G416"/>
    <mergeCell ref="B421:G421"/>
    <mergeCell ref="B420:G420"/>
    <mergeCell ref="B432:G432"/>
    <mergeCell ref="B436:G436"/>
    <mergeCell ref="B440:G440"/>
    <mergeCell ref="B461:G461"/>
    <mergeCell ref="B464:G464"/>
    <mergeCell ref="B463:G463"/>
    <mergeCell ref="B437:G437"/>
    <mergeCell ref="B415:G415"/>
    <mergeCell ref="B434:G434"/>
    <mergeCell ref="B302:G302"/>
    <mergeCell ref="B305:G305"/>
    <mergeCell ref="B307:G307"/>
    <mergeCell ref="B310:G310"/>
    <mergeCell ref="B313:G313"/>
    <mergeCell ref="B312:G312"/>
    <mergeCell ref="B317:G317"/>
    <mergeCell ref="B316:G316"/>
    <mergeCell ref="B323:G323"/>
    <mergeCell ref="B322:G322"/>
    <mergeCell ref="B330:G330"/>
    <mergeCell ref="B329:G329"/>
    <mergeCell ref="B333:G333"/>
    <mergeCell ref="B336:G336"/>
    <mergeCell ref="B338:G338"/>
    <mergeCell ref="B342:G342"/>
    <mergeCell ref="B341:G341"/>
    <mergeCell ref="B575:G575"/>
    <mergeCell ref="B520:G520"/>
    <mergeCell ref="B482:G482"/>
    <mergeCell ref="B486:G486"/>
    <mergeCell ref="B460:G460"/>
    <mergeCell ref="B471:G471"/>
    <mergeCell ref="B519:G519"/>
    <mergeCell ref="O1:S1"/>
    <mergeCell ref="O4:S4"/>
    <mergeCell ref="O5:S5"/>
    <mergeCell ref="J12:J13"/>
    <mergeCell ref="E11:E14"/>
    <mergeCell ref="F11:F14"/>
    <mergeCell ref="L11:P11"/>
    <mergeCell ref="M12:P12"/>
    <mergeCell ref="Q11:Q13"/>
    <mergeCell ref="S11:S14"/>
    <mergeCell ref="A6:S6"/>
    <mergeCell ref="R11:R13"/>
    <mergeCell ref="A7:S7"/>
    <mergeCell ref="H11:H13"/>
    <mergeCell ref="A8:S8"/>
    <mergeCell ref="A11:A14"/>
    <mergeCell ref="A10:S10"/>
    <mergeCell ref="O2:S2"/>
    <mergeCell ref="C12:C14"/>
    <mergeCell ref="G11:G14"/>
    <mergeCell ref="C11:D11"/>
    <mergeCell ref="D12:D14"/>
    <mergeCell ref="I11:J11"/>
    <mergeCell ref="B11:B14"/>
    <mergeCell ref="B354:G354"/>
    <mergeCell ref="B394:G394"/>
    <mergeCell ref="B375:G375"/>
    <mergeCell ref="B377:G377"/>
    <mergeCell ref="B373:G373"/>
    <mergeCell ref="B327:G327"/>
    <mergeCell ref="B294:G294"/>
    <mergeCell ref="B298:G298"/>
    <mergeCell ref="B297:G297"/>
    <mergeCell ref="A9:S9"/>
    <mergeCell ref="I12:I13"/>
    <mergeCell ref="B18:G18"/>
    <mergeCell ref="B197:G197"/>
    <mergeCell ref="L12:L13"/>
    <mergeCell ref="K11:K13"/>
    <mergeCell ref="A17:S17"/>
    <mergeCell ref="B188:G188"/>
    <mergeCell ref="B517:G517"/>
    <mergeCell ref="B507:G507"/>
    <mergeCell ref="B508:G508"/>
    <mergeCell ref="A505:S505"/>
    <mergeCell ref="A514:S514"/>
    <mergeCell ref="B515:G515"/>
    <mergeCell ref="B516:G516"/>
    <mergeCell ref="O3:S3"/>
    <mergeCell ref="B290:G290"/>
    <mergeCell ref="B256:G256"/>
    <mergeCell ref="B264:G264"/>
    <mergeCell ref="B265:G265"/>
    <mergeCell ref="B271:G271"/>
    <mergeCell ref="B272:G272"/>
    <mergeCell ref="B274:G274"/>
    <mergeCell ref="B275:G275"/>
    <mergeCell ref="A503:S503"/>
    <mergeCell ref="B238:G238"/>
    <mergeCell ref="B16:G16"/>
    <mergeCell ref="B19:G19"/>
    <mergeCell ref="B199:G199"/>
    <mergeCell ref="B225:G225"/>
    <mergeCell ref="B255:G255"/>
    <mergeCell ref="B293:G293"/>
  </mergeCells>
  <printOptions horizontalCentered="1"/>
  <pageMargins left="0.19685039370078741" right="0.19685039370078741" top="0.70866141732283472" bottom="0.51181102362204722" header="0.59055118110236227" footer="0"/>
  <pageSetup paperSize="9" scale="61" firstPageNumber="2" fitToHeight="0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8"/>
  <sheetViews>
    <sheetView tabSelected="1" view="pageBreakPreview" zoomScale="80" zoomScaleSheetLayoutView="80" workbookViewId="0">
      <pane xSplit="2" ySplit="3" topLeftCell="C384" activePane="bottomRight" state="frozen"/>
      <selection pane="topRight" activeCell="C1" sqref="C1"/>
      <selection pane="bottomLeft" activeCell="A4" sqref="A4"/>
      <selection pane="bottomRight" activeCell="N400" sqref="N400"/>
    </sheetView>
  </sheetViews>
  <sheetFormatPr defaultColWidth="8.85546875" defaultRowHeight="15"/>
  <cols>
    <col min="1" max="1" width="4.85546875" style="8" customWidth="1"/>
    <col min="2" max="2" width="30.7109375" style="1" customWidth="1"/>
    <col min="3" max="3" width="14.7109375" style="1" customWidth="1"/>
    <col min="4" max="4" width="16.7109375" style="23" customWidth="1"/>
    <col min="5" max="5" width="7.85546875" style="21" customWidth="1"/>
    <col min="6" max="6" width="16.140625" style="1" customWidth="1"/>
    <col min="7" max="7" width="11.5703125" style="21" customWidth="1"/>
    <col min="8" max="8" width="14.85546875" style="23" customWidth="1"/>
    <col min="9" max="9" width="7" style="21" customWidth="1"/>
    <col min="10" max="10" width="12.85546875" style="23" customWidth="1"/>
    <col min="11" max="11" width="11.5703125" style="21" customWidth="1"/>
    <col min="12" max="12" width="13.28515625" style="1" customWidth="1"/>
    <col min="13" max="13" width="7.5703125" style="21" customWidth="1"/>
    <col min="14" max="14" width="10.85546875" style="1" customWidth="1"/>
    <col min="15" max="15" width="8.140625" style="21" customWidth="1"/>
    <col min="16" max="16384" width="8.85546875" style="1"/>
  </cols>
  <sheetData>
    <row r="1" spans="1:15" s="16" customFormat="1" ht="15.75">
      <c r="A1" s="323" t="s">
        <v>39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</row>
    <row r="2" spans="1:15" s="16" customFormat="1">
      <c r="A2" s="324" t="s">
        <v>0</v>
      </c>
      <c r="B2" s="324" t="s">
        <v>22</v>
      </c>
      <c r="C2" s="324" t="s">
        <v>594</v>
      </c>
      <c r="D2" s="325" t="s">
        <v>555</v>
      </c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6" t="s">
        <v>670</v>
      </c>
    </row>
    <row r="3" spans="1:15" s="16" customFormat="1" ht="102" customHeight="1">
      <c r="A3" s="324"/>
      <c r="B3" s="324"/>
      <c r="C3" s="324"/>
      <c r="D3" s="195" t="s">
        <v>133</v>
      </c>
      <c r="E3" s="322" t="s">
        <v>134</v>
      </c>
      <c r="F3" s="322"/>
      <c r="G3" s="322" t="s">
        <v>135</v>
      </c>
      <c r="H3" s="322"/>
      <c r="I3" s="322" t="s">
        <v>136</v>
      </c>
      <c r="J3" s="322"/>
      <c r="K3" s="322" t="s">
        <v>552</v>
      </c>
      <c r="L3" s="322"/>
      <c r="M3" s="322" t="s">
        <v>137</v>
      </c>
      <c r="N3" s="322"/>
      <c r="O3" s="326"/>
    </row>
    <row r="4" spans="1:15">
      <c r="A4" s="324"/>
      <c r="B4" s="324"/>
      <c r="C4" s="196" t="s">
        <v>17</v>
      </c>
      <c r="D4" s="197" t="s">
        <v>17</v>
      </c>
      <c r="E4" s="198" t="s">
        <v>23</v>
      </c>
      <c r="F4" s="196" t="s">
        <v>17</v>
      </c>
      <c r="G4" s="198" t="s">
        <v>21</v>
      </c>
      <c r="H4" s="197" t="s">
        <v>17</v>
      </c>
      <c r="I4" s="198" t="s">
        <v>21</v>
      </c>
      <c r="J4" s="197" t="s">
        <v>17</v>
      </c>
      <c r="K4" s="198" t="s">
        <v>21</v>
      </c>
      <c r="L4" s="196" t="s">
        <v>17</v>
      </c>
      <c r="M4" s="198" t="s">
        <v>24</v>
      </c>
      <c r="N4" s="196" t="s">
        <v>17</v>
      </c>
      <c r="O4" s="326"/>
    </row>
    <row r="5" spans="1:15">
      <c r="A5" s="199">
        <v>1</v>
      </c>
      <c r="B5" s="199">
        <v>2</v>
      </c>
      <c r="C5" s="199">
        <v>3</v>
      </c>
      <c r="D5" s="200">
        <v>4</v>
      </c>
      <c r="E5" s="200">
        <v>5</v>
      </c>
      <c r="F5" s="200">
        <v>6</v>
      </c>
      <c r="G5" s="200">
        <v>7</v>
      </c>
      <c r="H5" s="200">
        <v>8</v>
      </c>
      <c r="I5" s="200">
        <v>9</v>
      </c>
      <c r="J5" s="200">
        <v>10</v>
      </c>
      <c r="K5" s="200">
        <v>11</v>
      </c>
      <c r="L5" s="200">
        <v>12</v>
      </c>
      <c r="M5" s="200">
        <v>13</v>
      </c>
      <c r="N5" s="200">
        <v>14</v>
      </c>
      <c r="O5" s="200">
        <v>15</v>
      </c>
    </row>
    <row r="6" spans="1:15">
      <c r="A6" s="201"/>
      <c r="B6" s="201" t="s">
        <v>42</v>
      </c>
      <c r="C6" s="202">
        <v>698421744.79999995</v>
      </c>
      <c r="D6" s="202">
        <v>117025008.27</v>
      </c>
      <c r="E6" s="203">
        <v>79</v>
      </c>
      <c r="F6" s="202">
        <v>144819894.63999999</v>
      </c>
      <c r="G6" s="202">
        <v>194329.94000000003</v>
      </c>
      <c r="H6" s="202">
        <v>381173702.09999996</v>
      </c>
      <c r="I6" s="202">
        <v>682</v>
      </c>
      <c r="J6" s="202">
        <v>662518</v>
      </c>
      <c r="K6" s="202">
        <v>41826.129999999997</v>
      </c>
      <c r="L6" s="202">
        <v>54359223.790000007</v>
      </c>
      <c r="M6" s="204">
        <v>212</v>
      </c>
      <c r="N6" s="202">
        <v>381398</v>
      </c>
      <c r="O6" s="202"/>
    </row>
    <row r="7" spans="1:15" ht="18.75" customHeight="1">
      <c r="A7" s="205"/>
      <c r="B7" s="206" t="s">
        <v>659</v>
      </c>
      <c r="C7" s="207">
        <v>336230870.63</v>
      </c>
      <c r="D7" s="207">
        <v>84703866.609999999</v>
      </c>
      <c r="E7" s="208">
        <v>45</v>
      </c>
      <c r="F7" s="207">
        <v>84665172</v>
      </c>
      <c r="G7" s="207">
        <v>64824.649999999994</v>
      </c>
      <c r="H7" s="207">
        <v>127943364.07000001</v>
      </c>
      <c r="I7" s="207">
        <v>682</v>
      </c>
      <c r="J7" s="207">
        <v>662518</v>
      </c>
      <c r="K7" s="207">
        <v>29106.850000000002</v>
      </c>
      <c r="L7" s="207">
        <v>38255949.950000003</v>
      </c>
      <c r="M7" s="208">
        <v>0</v>
      </c>
      <c r="N7" s="207">
        <v>0</v>
      </c>
      <c r="O7" s="202"/>
    </row>
    <row r="8" spans="1:15" s="59" customFormat="1">
      <c r="A8" s="209">
        <v>1</v>
      </c>
      <c r="B8" s="206" t="s">
        <v>248</v>
      </c>
      <c r="C8" s="207">
        <v>5982216</v>
      </c>
      <c r="D8" s="207">
        <v>0</v>
      </c>
      <c r="E8" s="205">
        <v>0</v>
      </c>
      <c r="F8" s="207">
        <v>0</v>
      </c>
      <c r="G8" s="207">
        <v>0</v>
      </c>
      <c r="H8" s="207">
        <v>0</v>
      </c>
      <c r="I8" s="205">
        <v>0</v>
      </c>
      <c r="J8" s="207">
        <v>0</v>
      </c>
      <c r="K8" s="210">
        <v>4158.84</v>
      </c>
      <c r="L8" s="207">
        <v>5982216</v>
      </c>
      <c r="M8" s="208">
        <v>0</v>
      </c>
      <c r="N8" s="207">
        <v>0</v>
      </c>
      <c r="O8" s="202"/>
    </row>
    <row r="9" spans="1:15" s="71" customFormat="1">
      <c r="A9" s="209">
        <v>2</v>
      </c>
      <c r="B9" s="206" t="s">
        <v>249</v>
      </c>
      <c r="C9" s="207">
        <v>9379653</v>
      </c>
      <c r="D9" s="207">
        <v>0</v>
      </c>
      <c r="E9" s="205">
        <v>5</v>
      </c>
      <c r="F9" s="207">
        <v>9379653</v>
      </c>
      <c r="G9" s="207">
        <v>0</v>
      </c>
      <c r="H9" s="207">
        <v>0</v>
      </c>
      <c r="I9" s="205">
        <v>0</v>
      </c>
      <c r="J9" s="207">
        <v>0</v>
      </c>
      <c r="K9" s="208">
        <v>0</v>
      </c>
      <c r="L9" s="207">
        <v>0</v>
      </c>
      <c r="M9" s="208">
        <v>0</v>
      </c>
      <c r="N9" s="207">
        <v>0</v>
      </c>
      <c r="O9" s="202"/>
    </row>
    <row r="10" spans="1:15" s="59" customFormat="1">
      <c r="A10" s="209">
        <v>3</v>
      </c>
      <c r="B10" s="206" t="s">
        <v>245</v>
      </c>
      <c r="C10" s="207">
        <v>3763756</v>
      </c>
      <c r="D10" s="207">
        <v>0</v>
      </c>
      <c r="E10" s="205">
        <v>2</v>
      </c>
      <c r="F10" s="207">
        <v>3763756</v>
      </c>
      <c r="G10" s="207">
        <v>0</v>
      </c>
      <c r="H10" s="207">
        <v>0</v>
      </c>
      <c r="I10" s="205">
        <v>0</v>
      </c>
      <c r="J10" s="207">
        <v>0</v>
      </c>
      <c r="K10" s="211">
        <v>0</v>
      </c>
      <c r="L10" s="207">
        <v>0</v>
      </c>
      <c r="M10" s="208">
        <v>0</v>
      </c>
      <c r="N10" s="207">
        <v>0</v>
      </c>
      <c r="O10" s="202"/>
    </row>
    <row r="11" spans="1:15" s="59" customFormat="1">
      <c r="A11" s="209">
        <v>4</v>
      </c>
      <c r="B11" s="206" t="s">
        <v>270</v>
      </c>
      <c r="C11" s="207">
        <v>1095812</v>
      </c>
      <c r="D11" s="207">
        <v>1095812</v>
      </c>
      <c r="E11" s="205">
        <v>0</v>
      </c>
      <c r="F11" s="207">
        <v>0</v>
      </c>
      <c r="G11" s="207">
        <v>0</v>
      </c>
      <c r="H11" s="207">
        <v>0</v>
      </c>
      <c r="I11" s="205">
        <v>0</v>
      </c>
      <c r="J11" s="207">
        <v>0</v>
      </c>
      <c r="K11" s="211">
        <v>0</v>
      </c>
      <c r="L11" s="207">
        <v>0</v>
      </c>
      <c r="M11" s="208">
        <v>0</v>
      </c>
      <c r="N11" s="207">
        <v>0</v>
      </c>
      <c r="O11" s="202"/>
    </row>
    <row r="12" spans="1:15" s="59" customFormat="1">
      <c r="A12" s="209">
        <v>5</v>
      </c>
      <c r="B12" s="206" t="s">
        <v>246</v>
      </c>
      <c r="C12" s="207">
        <v>5619141</v>
      </c>
      <c r="D12" s="207">
        <v>0</v>
      </c>
      <c r="E12" s="205">
        <v>3</v>
      </c>
      <c r="F12" s="207">
        <v>5619141</v>
      </c>
      <c r="G12" s="207">
        <v>0</v>
      </c>
      <c r="H12" s="207">
        <v>0</v>
      </c>
      <c r="I12" s="205">
        <v>0</v>
      </c>
      <c r="J12" s="207">
        <v>0</v>
      </c>
      <c r="K12" s="211">
        <v>0</v>
      </c>
      <c r="L12" s="207">
        <v>0</v>
      </c>
      <c r="M12" s="208">
        <v>0</v>
      </c>
      <c r="N12" s="207">
        <v>0</v>
      </c>
      <c r="O12" s="202"/>
    </row>
    <row r="13" spans="1:15" s="59" customFormat="1">
      <c r="A13" s="209">
        <v>6</v>
      </c>
      <c r="B13" s="206" t="s">
        <v>244</v>
      </c>
      <c r="C13" s="207">
        <v>3748388</v>
      </c>
      <c r="D13" s="207">
        <v>0</v>
      </c>
      <c r="E13" s="205">
        <v>2</v>
      </c>
      <c r="F13" s="207">
        <v>3748388</v>
      </c>
      <c r="G13" s="207">
        <v>0</v>
      </c>
      <c r="H13" s="207">
        <v>0</v>
      </c>
      <c r="I13" s="205">
        <v>0</v>
      </c>
      <c r="J13" s="207">
        <v>0</v>
      </c>
      <c r="K13" s="208">
        <v>0</v>
      </c>
      <c r="L13" s="207">
        <v>0</v>
      </c>
      <c r="M13" s="208">
        <v>0</v>
      </c>
      <c r="N13" s="207">
        <v>0</v>
      </c>
      <c r="O13" s="202"/>
    </row>
    <row r="14" spans="1:15" s="59" customFormat="1">
      <c r="A14" s="209">
        <v>7</v>
      </c>
      <c r="B14" s="206" t="s">
        <v>251</v>
      </c>
      <c r="C14" s="207">
        <v>15157748</v>
      </c>
      <c r="D14" s="207">
        <v>0</v>
      </c>
      <c r="E14" s="205">
        <v>8</v>
      </c>
      <c r="F14" s="207">
        <v>15157748</v>
      </c>
      <c r="G14" s="207">
        <v>0</v>
      </c>
      <c r="H14" s="207">
        <v>0</v>
      </c>
      <c r="I14" s="205">
        <v>0</v>
      </c>
      <c r="J14" s="207">
        <v>0</v>
      </c>
      <c r="K14" s="208">
        <v>0</v>
      </c>
      <c r="L14" s="207">
        <v>0</v>
      </c>
      <c r="M14" s="208">
        <v>0</v>
      </c>
      <c r="N14" s="207">
        <v>0</v>
      </c>
      <c r="O14" s="202"/>
    </row>
    <row r="15" spans="1:15" s="59" customFormat="1">
      <c r="A15" s="209">
        <v>8</v>
      </c>
      <c r="B15" s="206" t="s">
        <v>247</v>
      </c>
      <c r="C15" s="207">
        <v>1030213</v>
      </c>
      <c r="D15" s="207">
        <v>0</v>
      </c>
      <c r="E15" s="205">
        <v>0</v>
      </c>
      <c r="F15" s="207">
        <v>0</v>
      </c>
      <c r="G15" s="207">
        <v>513.79999999999995</v>
      </c>
      <c r="H15" s="210">
        <v>1030213</v>
      </c>
      <c r="I15" s="205">
        <v>0</v>
      </c>
      <c r="J15" s="207">
        <v>0</v>
      </c>
      <c r="K15" s="211">
        <v>0</v>
      </c>
      <c r="L15" s="207">
        <v>0</v>
      </c>
      <c r="M15" s="208">
        <v>0</v>
      </c>
      <c r="N15" s="207">
        <v>0</v>
      </c>
      <c r="O15" s="202"/>
    </row>
    <row r="16" spans="1:15" s="59" customFormat="1">
      <c r="A16" s="209">
        <v>9</v>
      </c>
      <c r="B16" s="206" t="s">
        <v>243</v>
      </c>
      <c r="C16" s="207">
        <v>530465</v>
      </c>
      <c r="D16" s="207">
        <v>530465</v>
      </c>
      <c r="E16" s="205">
        <v>0</v>
      </c>
      <c r="F16" s="207">
        <v>0</v>
      </c>
      <c r="G16" s="210">
        <v>0</v>
      </c>
      <c r="H16" s="207">
        <v>0</v>
      </c>
      <c r="I16" s="205">
        <v>0</v>
      </c>
      <c r="J16" s="207">
        <v>0</v>
      </c>
      <c r="K16" s="211">
        <v>0</v>
      </c>
      <c r="L16" s="207">
        <v>0</v>
      </c>
      <c r="M16" s="208">
        <v>0</v>
      </c>
      <c r="N16" s="207">
        <v>0</v>
      </c>
      <c r="O16" s="202"/>
    </row>
    <row r="17" spans="1:15" s="59" customFormat="1">
      <c r="A17" s="209">
        <v>10</v>
      </c>
      <c r="B17" s="206" t="s">
        <v>250</v>
      </c>
      <c r="C17" s="207">
        <v>1983854</v>
      </c>
      <c r="D17" s="207">
        <v>0</v>
      </c>
      <c r="E17" s="205">
        <v>0</v>
      </c>
      <c r="F17" s="207">
        <v>0</v>
      </c>
      <c r="G17" s="207">
        <v>1000</v>
      </c>
      <c r="H17" s="207">
        <v>1983854</v>
      </c>
      <c r="I17" s="205">
        <v>0</v>
      </c>
      <c r="J17" s="207">
        <v>0</v>
      </c>
      <c r="K17" s="208">
        <v>0</v>
      </c>
      <c r="L17" s="207">
        <v>0</v>
      </c>
      <c r="M17" s="208">
        <v>0</v>
      </c>
      <c r="N17" s="207">
        <v>0</v>
      </c>
      <c r="O17" s="202"/>
    </row>
    <row r="18" spans="1:15" s="59" customFormat="1">
      <c r="A18" s="209">
        <v>11</v>
      </c>
      <c r="B18" s="206" t="s">
        <v>366</v>
      </c>
      <c r="C18" s="207">
        <v>1206304</v>
      </c>
      <c r="D18" s="207">
        <v>0</v>
      </c>
      <c r="E18" s="205">
        <v>0</v>
      </c>
      <c r="F18" s="207">
        <v>0</v>
      </c>
      <c r="G18" s="207">
        <v>576</v>
      </c>
      <c r="H18" s="207">
        <v>1206304</v>
      </c>
      <c r="I18" s="205">
        <v>0</v>
      </c>
      <c r="J18" s="207">
        <v>0</v>
      </c>
      <c r="K18" s="208">
        <v>0</v>
      </c>
      <c r="L18" s="207">
        <v>0</v>
      </c>
      <c r="M18" s="208">
        <v>0</v>
      </c>
      <c r="N18" s="207">
        <v>0</v>
      </c>
      <c r="O18" s="202"/>
    </row>
    <row r="19" spans="1:15" s="59" customFormat="1" ht="30">
      <c r="A19" s="209">
        <v>12</v>
      </c>
      <c r="B19" s="206" t="s">
        <v>488</v>
      </c>
      <c r="C19" s="207">
        <v>402530.2</v>
      </c>
      <c r="D19" s="207">
        <v>402530.2</v>
      </c>
      <c r="E19" s="205">
        <v>0</v>
      </c>
      <c r="F19" s="207">
        <v>0</v>
      </c>
      <c r="G19" s="207">
        <v>0</v>
      </c>
      <c r="H19" s="207">
        <v>0</v>
      </c>
      <c r="I19" s="205">
        <v>0</v>
      </c>
      <c r="J19" s="207">
        <v>0</v>
      </c>
      <c r="K19" s="208">
        <v>0</v>
      </c>
      <c r="L19" s="207">
        <v>0</v>
      </c>
      <c r="M19" s="208">
        <v>0</v>
      </c>
      <c r="N19" s="207">
        <v>0</v>
      </c>
      <c r="O19" s="202"/>
    </row>
    <row r="20" spans="1:15" s="59" customFormat="1">
      <c r="A20" s="209">
        <v>13</v>
      </c>
      <c r="B20" s="206" t="s">
        <v>365</v>
      </c>
      <c r="C20" s="207">
        <v>2861497</v>
      </c>
      <c r="D20" s="207">
        <v>0</v>
      </c>
      <c r="E20" s="205">
        <v>0</v>
      </c>
      <c r="F20" s="207">
        <v>0</v>
      </c>
      <c r="G20" s="207">
        <v>1450</v>
      </c>
      <c r="H20" s="207">
        <v>2861497</v>
      </c>
      <c r="I20" s="205">
        <v>0</v>
      </c>
      <c r="J20" s="207">
        <v>0</v>
      </c>
      <c r="K20" s="208">
        <v>0</v>
      </c>
      <c r="L20" s="207">
        <v>0</v>
      </c>
      <c r="M20" s="208">
        <v>0</v>
      </c>
      <c r="N20" s="207">
        <v>0</v>
      </c>
      <c r="O20" s="202"/>
    </row>
    <row r="21" spans="1:15" s="59" customFormat="1">
      <c r="A21" s="209">
        <v>14</v>
      </c>
      <c r="B21" s="206" t="s">
        <v>258</v>
      </c>
      <c r="C21" s="207">
        <v>1535065.47</v>
      </c>
      <c r="D21" s="207">
        <v>0</v>
      </c>
      <c r="E21" s="205">
        <v>0</v>
      </c>
      <c r="F21" s="207">
        <v>0</v>
      </c>
      <c r="G21" s="207">
        <v>0</v>
      </c>
      <c r="H21" s="207">
        <v>0</v>
      </c>
      <c r="I21" s="205">
        <v>0</v>
      </c>
      <c r="J21" s="207">
        <v>0</v>
      </c>
      <c r="K21" s="207">
        <v>1641</v>
      </c>
      <c r="L21" s="207">
        <v>1535065.47</v>
      </c>
      <c r="M21" s="208">
        <v>0</v>
      </c>
      <c r="N21" s="207">
        <v>0</v>
      </c>
      <c r="O21" s="202"/>
    </row>
    <row r="22" spans="1:15" s="59" customFormat="1">
      <c r="A22" s="209">
        <v>15</v>
      </c>
      <c r="B22" s="206" t="s">
        <v>254</v>
      </c>
      <c r="C22" s="207">
        <v>930534</v>
      </c>
      <c r="D22" s="207">
        <v>930534</v>
      </c>
      <c r="E22" s="205">
        <v>0</v>
      </c>
      <c r="F22" s="207">
        <v>0</v>
      </c>
      <c r="G22" s="207">
        <v>0</v>
      </c>
      <c r="H22" s="207">
        <v>0</v>
      </c>
      <c r="I22" s="205">
        <v>0</v>
      </c>
      <c r="J22" s="207">
        <v>0</v>
      </c>
      <c r="K22" s="211">
        <v>0</v>
      </c>
      <c r="L22" s="207">
        <v>0</v>
      </c>
      <c r="M22" s="208">
        <v>0</v>
      </c>
      <c r="N22" s="207">
        <v>0</v>
      </c>
      <c r="O22" s="202"/>
    </row>
    <row r="23" spans="1:15" s="59" customFormat="1">
      <c r="A23" s="209">
        <v>16</v>
      </c>
      <c r="B23" s="206" t="s">
        <v>252</v>
      </c>
      <c r="C23" s="207">
        <v>662518</v>
      </c>
      <c r="D23" s="207">
        <v>0</v>
      </c>
      <c r="E23" s="205">
        <v>0</v>
      </c>
      <c r="F23" s="207">
        <v>0</v>
      </c>
      <c r="G23" s="207">
        <v>0</v>
      </c>
      <c r="H23" s="207">
        <v>0</v>
      </c>
      <c r="I23" s="207">
        <v>682</v>
      </c>
      <c r="J23" s="207">
        <v>662518</v>
      </c>
      <c r="K23" s="208">
        <v>0</v>
      </c>
      <c r="L23" s="207">
        <v>0</v>
      </c>
      <c r="M23" s="208">
        <v>0</v>
      </c>
      <c r="N23" s="207">
        <v>0</v>
      </c>
      <c r="O23" s="202"/>
    </row>
    <row r="24" spans="1:15" s="59" customFormat="1">
      <c r="A24" s="209">
        <v>17</v>
      </c>
      <c r="B24" s="206" t="s">
        <v>257</v>
      </c>
      <c r="C24" s="207">
        <v>2346663</v>
      </c>
      <c r="D24" s="207">
        <v>2346663</v>
      </c>
      <c r="E24" s="205">
        <v>0</v>
      </c>
      <c r="F24" s="207">
        <v>0</v>
      </c>
      <c r="G24" s="210">
        <v>0</v>
      </c>
      <c r="H24" s="207">
        <v>0</v>
      </c>
      <c r="I24" s="205">
        <v>0</v>
      </c>
      <c r="J24" s="207">
        <v>0</v>
      </c>
      <c r="K24" s="211">
        <v>0</v>
      </c>
      <c r="L24" s="207">
        <v>0</v>
      </c>
      <c r="M24" s="208">
        <v>0</v>
      </c>
      <c r="N24" s="207">
        <v>0</v>
      </c>
      <c r="O24" s="202"/>
    </row>
    <row r="25" spans="1:15" s="59" customFormat="1">
      <c r="A25" s="209">
        <v>18</v>
      </c>
      <c r="B25" s="206" t="s">
        <v>255</v>
      </c>
      <c r="C25" s="207">
        <v>727019</v>
      </c>
      <c r="D25" s="207">
        <v>727019</v>
      </c>
      <c r="E25" s="205">
        <v>0</v>
      </c>
      <c r="F25" s="207">
        <v>0</v>
      </c>
      <c r="G25" s="207">
        <v>0</v>
      </c>
      <c r="H25" s="207">
        <v>0</v>
      </c>
      <c r="I25" s="205">
        <v>0</v>
      </c>
      <c r="J25" s="207">
        <v>0</v>
      </c>
      <c r="K25" s="211">
        <v>0</v>
      </c>
      <c r="L25" s="207">
        <v>0</v>
      </c>
      <c r="M25" s="208">
        <v>0</v>
      </c>
      <c r="N25" s="207">
        <v>0</v>
      </c>
      <c r="O25" s="202"/>
    </row>
    <row r="26" spans="1:15" s="59" customFormat="1">
      <c r="A26" s="209">
        <v>19</v>
      </c>
      <c r="B26" s="206" t="s">
        <v>253</v>
      </c>
      <c r="C26" s="207">
        <v>538121</v>
      </c>
      <c r="D26" s="207">
        <v>538121</v>
      </c>
      <c r="E26" s="205">
        <v>0</v>
      </c>
      <c r="F26" s="207">
        <v>0</v>
      </c>
      <c r="G26" s="207">
        <v>0</v>
      </c>
      <c r="H26" s="207">
        <v>0</v>
      </c>
      <c r="I26" s="205">
        <v>0</v>
      </c>
      <c r="J26" s="207">
        <v>0</v>
      </c>
      <c r="K26" s="208">
        <v>0</v>
      </c>
      <c r="L26" s="207">
        <v>0</v>
      </c>
      <c r="M26" s="208">
        <v>0</v>
      </c>
      <c r="N26" s="207">
        <v>0</v>
      </c>
      <c r="O26" s="202"/>
    </row>
    <row r="27" spans="1:15" s="59" customFormat="1">
      <c r="A27" s="209">
        <v>20</v>
      </c>
      <c r="B27" s="206" t="s">
        <v>256</v>
      </c>
      <c r="C27" s="207">
        <v>1756852</v>
      </c>
      <c r="D27" s="207">
        <v>0</v>
      </c>
      <c r="E27" s="205">
        <v>0</v>
      </c>
      <c r="F27" s="207">
        <v>0</v>
      </c>
      <c r="G27" s="207">
        <v>891</v>
      </c>
      <c r="H27" s="207">
        <v>1756852</v>
      </c>
      <c r="I27" s="205">
        <v>0</v>
      </c>
      <c r="J27" s="207">
        <v>0</v>
      </c>
      <c r="K27" s="208">
        <v>0</v>
      </c>
      <c r="L27" s="207">
        <v>0</v>
      </c>
      <c r="M27" s="208">
        <v>0</v>
      </c>
      <c r="N27" s="207">
        <v>0</v>
      </c>
      <c r="O27" s="202"/>
    </row>
    <row r="28" spans="1:15" s="59" customFormat="1">
      <c r="A28" s="209">
        <v>21</v>
      </c>
      <c r="B28" s="206" t="s">
        <v>240</v>
      </c>
      <c r="C28" s="207">
        <v>676398.28</v>
      </c>
      <c r="D28" s="207">
        <v>0</v>
      </c>
      <c r="E28" s="205">
        <v>0</v>
      </c>
      <c r="F28" s="207">
        <v>0</v>
      </c>
      <c r="G28" s="207">
        <v>0</v>
      </c>
      <c r="H28" s="207">
        <v>0</v>
      </c>
      <c r="I28" s="205">
        <v>0</v>
      </c>
      <c r="J28" s="207">
        <v>0</v>
      </c>
      <c r="K28" s="207">
        <v>1444</v>
      </c>
      <c r="L28" s="207">
        <v>676398.28</v>
      </c>
      <c r="M28" s="208">
        <v>0</v>
      </c>
      <c r="N28" s="207">
        <v>0</v>
      </c>
      <c r="O28" s="202"/>
    </row>
    <row r="29" spans="1:15" s="59" customFormat="1">
      <c r="A29" s="209">
        <v>22</v>
      </c>
      <c r="B29" s="206" t="s">
        <v>237</v>
      </c>
      <c r="C29" s="207">
        <v>766539</v>
      </c>
      <c r="D29" s="207">
        <v>0</v>
      </c>
      <c r="E29" s="205">
        <v>0</v>
      </c>
      <c r="F29" s="207">
        <v>0</v>
      </c>
      <c r="G29" s="207">
        <v>378.5</v>
      </c>
      <c r="H29" s="207">
        <v>766539</v>
      </c>
      <c r="I29" s="205">
        <v>0</v>
      </c>
      <c r="J29" s="207">
        <v>0</v>
      </c>
      <c r="K29" s="208">
        <v>0</v>
      </c>
      <c r="L29" s="207">
        <v>0</v>
      </c>
      <c r="M29" s="208">
        <v>0</v>
      </c>
      <c r="N29" s="207">
        <v>0</v>
      </c>
      <c r="O29" s="202"/>
    </row>
    <row r="30" spans="1:15" s="59" customFormat="1">
      <c r="A30" s="209">
        <v>23</v>
      </c>
      <c r="B30" s="206" t="s">
        <v>236</v>
      </c>
      <c r="C30" s="207">
        <v>1186114</v>
      </c>
      <c r="D30" s="207">
        <v>0</v>
      </c>
      <c r="E30" s="205">
        <v>0</v>
      </c>
      <c r="F30" s="207">
        <v>0</v>
      </c>
      <c r="G30" s="207">
        <v>586.29999999999995</v>
      </c>
      <c r="H30" s="207">
        <v>1186114</v>
      </c>
      <c r="I30" s="205">
        <v>0</v>
      </c>
      <c r="J30" s="207">
        <v>0</v>
      </c>
      <c r="K30" s="208">
        <v>0</v>
      </c>
      <c r="L30" s="207">
        <v>0</v>
      </c>
      <c r="M30" s="208">
        <v>0</v>
      </c>
      <c r="N30" s="207">
        <v>0</v>
      </c>
      <c r="O30" s="202"/>
    </row>
    <row r="31" spans="1:15" s="71" customFormat="1">
      <c r="A31" s="209">
        <v>24</v>
      </c>
      <c r="B31" s="206" t="s">
        <v>235</v>
      </c>
      <c r="C31" s="207">
        <v>178272.59</v>
      </c>
      <c r="D31" s="207">
        <v>178272.59</v>
      </c>
      <c r="E31" s="205">
        <v>0</v>
      </c>
      <c r="F31" s="207">
        <v>0</v>
      </c>
      <c r="G31" s="210">
        <v>0</v>
      </c>
      <c r="H31" s="207">
        <v>0</v>
      </c>
      <c r="I31" s="205">
        <v>0</v>
      </c>
      <c r="J31" s="207">
        <v>0</v>
      </c>
      <c r="K31" s="211">
        <v>0</v>
      </c>
      <c r="L31" s="207">
        <v>0</v>
      </c>
      <c r="M31" s="208">
        <v>0</v>
      </c>
      <c r="N31" s="207">
        <v>0</v>
      </c>
      <c r="O31" s="202"/>
    </row>
    <row r="32" spans="1:15" s="59" customFormat="1">
      <c r="A32" s="209">
        <v>25</v>
      </c>
      <c r="B32" s="206" t="s">
        <v>239</v>
      </c>
      <c r="C32" s="207">
        <v>1087116</v>
      </c>
      <c r="D32" s="207">
        <v>1087116</v>
      </c>
      <c r="E32" s="205">
        <v>0</v>
      </c>
      <c r="F32" s="207">
        <v>0</v>
      </c>
      <c r="G32" s="207">
        <v>0</v>
      </c>
      <c r="H32" s="207">
        <v>0</v>
      </c>
      <c r="I32" s="205">
        <v>0</v>
      </c>
      <c r="J32" s="207">
        <v>0</v>
      </c>
      <c r="K32" s="208">
        <v>0</v>
      </c>
      <c r="L32" s="207">
        <v>0</v>
      </c>
      <c r="M32" s="208">
        <v>0</v>
      </c>
      <c r="N32" s="207">
        <v>0</v>
      </c>
      <c r="O32" s="202"/>
    </row>
    <row r="33" spans="1:15" s="59" customFormat="1">
      <c r="A33" s="209">
        <v>26</v>
      </c>
      <c r="B33" s="206" t="s">
        <v>275</v>
      </c>
      <c r="C33" s="207">
        <v>1411363</v>
      </c>
      <c r="D33" s="207">
        <v>0</v>
      </c>
      <c r="E33" s="205">
        <v>0</v>
      </c>
      <c r="F33" s="207">
        <v>0</v>
      </c>
      <c r="G33" s="207">
        <v>702</v>
      </c>
      <c r="H33" s="207">
        <v>1411363</v>
      </c>
      <c r="I33" s="205">
        <v>0</v>
      </c>
      <c r="J33" s="207">
        <v>0</v>
      </c>
      <c r="K33" s="208">
        <v>0</v>
      </c>
      <c r="L33" s="207">
        <v>0</v>
      </c>
      <c r="M33" s="208">
        <v>0</v>
      </c>
      <c r="N33" s="207">
        <v>0</v>
      </c>
      <c r="O33" s="202"/>
    </row>
    <row r="34" spans="1:15" s="59" customFormat="1">
      <c r="A34" s="209">
        <v>27</v>
      </c>
      <c r="B34" s="206" t="s">
        <v>238</v>
      </c>
      <c r="C34" s="207">
        <v>1136666</v>
      </c>
      <c r="D34" s="207">
        <v>0</v>
      </c>
      <c r="E34" s="205">
        <v>0</v>
      </c>
      <c r="F34" s="207">
        <v>0</v>
      </c>
      <c r="G34" s="207">
        <v>552</v>
      </c>
      <c r="H34" s="207">
        <v>1136666</v>
      </c>
      <c r="I34" s="205">
        <v>0</v>
      </c>
      <c r="J34" s="207">
        <v>0</v>
      </c>
      <c r="K34" s="211">
        <v>0</v>
      </c>
      <c r="L34" s="207">
        <v>0</v>
      </c>
      <c r="M34" s="208">
        <v>0</v>
      </c>
      <c r="N34" s="207">
        <v>0</v>
      </c>
      <c r="O34" s="202"/>
    </row>
    <row r="35" spans="1:15" s="59" customFormat="1">
      <c r="A35" s="209">
        <v>28</v>
      </c>
      <c r="B35" s="206" t="s">
        <v>347</v>
      </c>
      <c r="C35" s="207">
        <v>1385674</v>
      </c>
      <c r="D35" s="207">
        <v>1385674</v>
      </c>
      <c r="E35" s="205">
        <v>0</v>
      </c>
      <c r="F35" s="207">
        <v>0</v>
      </c>
      <c r="G35" s="207">
        <v>0</v>
      </c>
      <c r="H35" s="207">
        <v>0</v>
      </c>
      <c r="I35" s="205">
        <v>0</v>
      </c>
      <c r="J35" s="207">
        <v>0</v>
      </c>
      <c r="K35" s="208">
        <v>0</v>
      </c>
      <c r="L35" s="207">
        <v>0</v>
      </c>
      <c r="M35" s="208">
        <v>0</v>
      </c>
      <c r="N35" s="207">
        <v>0</v>
      </c>
      <c r="O35" s="202"/>
    </row>
    <row r="36" spans="1:15" s="59" customFormat="1">
      <c r="A36" s="209">
        <v>29</v>
      </c>
      <c r="B36" s="206" t="s">
        <v>348</v>
      </c>
      <c r="C36" s="207">
        <v>4619990</v>
      </c>
      <c r="D36" s="207">
        <v>0</v>
      </c>
      <c r="E36" s="205">
        <v>0</v>
      </c>
      <c r="F36" s="207">
        <v>0</v>
      </c>
      <c r="G36" s="207">
        <v>2319</v>
      </c>
      <c r="H36" s="207">
        <v>4619990</v>
      </c>
      <c r="I36" s="205">
        <v>0</v>
      </c>
      <c r="J36" s="207">
        <v>0</v>
      </c>
      <c r="K36" s="211">
        <v>0</v>
      </c>
      <c r="L36" s="207">
        <v>0</v>
      </c>
      <c r="M36" s="208">
        <v>0</v>
      </c>
      <c r="N36" s="207">
        <v>0</v>
      </c>
      <c r="O36" s="202"/>
    </row>
    <row r="37" spans="1:15" s="59" customFormat="1">
      <c r="A37" s="209">
        <v>30</v>
      </c>
      <c r="B37" s="206" t="s">
        <v>351</v>
      </c>
      <c r="C37" s="207">
        <v>1865304</v>
      </c>
      <c r="D37" s="207">
        <v>0</v>
      </c>
      <c r="E37" s="205">
        <v>0</v>
      </c>
      <c r="F37" s="207">
        <v>0</v>
      </c>
      <c r="G37" s="207">
        <v>924</v>
      </c>
      <c r="H37" s="207">
        <v>1865304</v>
      </c>
      <c r="I37" s="205">
        <v>0</v>
      </c>
      <c r="J37" s="207">
        <v>0</v>
      </c>
      <c r="K37" s="208">
        <v>0</v>
      </c>
      <c r="L37" s="207">
        <v>0</v>
      </c>
      <c r="M37" s="208">
        <v>0</v>
      </c>
      <c r="N37" s="207">
        <v>0</v>
      </c>
      <c r="O37" s="202"/>
    </row>
    <row r="38" spans="1:15" s="59" customFormat="1">
      <c r="A38" s="209">
        <v>31</v>
      </c>
      <c r="B38" s="206" t="s">
        <v>359</v>
      </c>
      <c r="C38" s="207">
        <v>1870910</v>
      </c>
      <c r="D38" s="207">
        <v>0</v>
      </c>
      <c r="E38" s="205">
        <v>0</v>
      </c>
      <c r="F38" s="207">
        <v>0</v>
      </c>
      <c r="G38" s="207">
        <v>946.3</v>
      </c>
      <c r="H38" s="207">
        <v>1870910</v>
      </c>
      <c r="I38" s="205">
        <v>0</v>
      </c>
      <c r="J38" s="207">
        <v>0</v>
      </c>
      <c r="K38" s="208">
        <v>0</v>
      </c>
      <c r="L38" s="207">
        <v>0</v>
      </c>
      <c r="M38" s="208">
        <v>0</v>
      </c>
      <c r="N38" s="207">
        <v>0</v>
      </c>
      <c r="O38" s="202"/>
    </row>
    <row r="39" spans="1:15" s="59" customFormat="1">
      <c r="A39" s="209">
        <v>32</v>
      </c>
      <c r="B39" s="206" t="s">
        <v>360</v>
      </c>
      <c r="C39" s="207">
        <v>1533757</v>
      </c>
      <c r="D39" s="207">
        <v>0</v>
      </c>
      <c r="E39" s="205">
        <v>0</v>
      </c>
      <c r="F39" s="207">
        <v>0</v>
      </c>
      <c r="G39" s="207">
        <v>772.9</v>
      </c>
      <c r="H39" s="207">
        <v>1533757</v>
      </c>
      <c r="I39" s="205">
        <v>0</v>
      </c>
      <c r="J39" s="207">
        <v>0</v>
      </c>
      <c r="K39" s="208">
        <v>0</v>
      </c>
      <c r="L39" s="207">
        <v>0</v>
      </c>
      <c r="M39" s="208">
        <v>0</v>
      </c>
      <c r="N39" s="207">
        <v>0</v>
      </c>
      <c r="O39" s="202"/>
    </row>
    <row r="40" spans="1:15">
      <c r="A40" s="205">
        <v>33</v>
      </c>
      <c r="B40" s="206" t="s">
        <v>349</v>
      </c>
      <c r="C40" s="207">
        <v>939858</v>
      </c>
      <c r="D40" s="207">
        <v>939858</v>
      </c>
      <c r="E40" s="205">
        <v>0</v>
      </c>
      <c r="F40" s="207">
        <v>0</v>
      </c>
      <c r="G40" s="207">
        <v>0</v>
      </c>
      <c r="H40" s="207">
        <v>0</v>
      </c>
      <c r="I40" s="205">
        <v>0</v>
      </c>
      <c r="J40" s="207">
        <v>0</v>
      </c>
      <c r="K40" s="211">
        <v>0</v>
      </c>
      <c r="L40" s="207">
        <v>0</v>
      </c>
      <c r="M40" s="208">
        <v>0</v>
      </c>
      <c r="N40" s="207">
        <v>0</v>
      </c>
      <c r="O40" s="202"/>
    </row>
    <row r="41" spans="1:15" s="59" customFormat="1">
      <c r="A41" s="209">
        <v>34</v>
      </c>
      <c r="B41" s="206" t="s">
        <v>355</v>
      </c>
      <c r="C41" s="207">
        <v>2368392</v>
      </c>
      <c r="D41" s="207">
        <v>0</v>
      </c>
      <c r="E41" s="205">
        <v>0</v>
      </c>
      <c r="F41" s="207">
        <v>0</v>
      </c>
      <c r="G41" s="207">
        <v>1200</v>
      </c>
      <c r="H41" s="210">
        <v>2368392</v>
      </c>
      <c r="I41" s="205">
        <v>0</v>
      </c>
      <c r="J41" s="207">
        <v>0</v>
      </c>
      <c r="K41" s="208">
        <v>0</v>
      </c>
      <c r="L41" s="207">
        <v>0</v>
      </c>
      <c r="M41" s="208">
        <v>0</v>
      </c>
      <c r="N41" s="207">
        <v>0</v>
      </c>
      <c r="O41" s="202"/>
    </row>
    <row r="42" spans="1:15" s="71" customFormat="1">
      <c r="A42" s="209">
        <v>35</v>
      </c>
      <c r="B42" s="206" t="s">
        <v>356</v>
      </c>
      <c r="C42" s="207">
        <v>2433930.91</v>
      </c>
      <c r="D42" s="207">
        <v>1478520.9100000001</v>
      </c>
      <c r="E42" s="205">
        <v>0</v>
      </c>
      <c r="F42" s="207">
        <v>0</v>
      </c>
      <c r="G42" s="207">
        <v>526.79999999999995</v>
      </c>
      <c r="H42" s="207">
        <v>955410</v>
      </c>
      <c r="I42" s="205">
        <v>0</v>
      </c>
      <c r="J42" s="207">
        <v>0</v>
      </c>
      <c r="K42" s="211">
        <v>0</v>
      </c>
      <c r="L42" s="207">
        <v>0</v>
      </c>
      <c r="M42" s="208">
        <v>0</v>
      </c>
      <c r="N42" s="207">
        <v>0</v>
      </c>
      <c r="O42" s="202"/>
    </row>
    <row r="43" spans="1:15" s="59" customFormat="1">
      <c r="A43" s="209">
        <v>36</v>
      </c>
      <c r="B43" s="206" t="s">
        <v>361</v>
      </c>
      <c r="C43" s="207">
        <v>1721850</v>
      </c>
      <c r="D43" s="207">
        <v>0</v>
      </c>
      <c r="E43" s="205">
        <v>0</v>
      </c>
      <c r="F43" s="207">
        <v>0</v>
      </c>
      <c r="G43" s="207">
        <v>868.68</v>
      </c>
      <c r="H43" s="207">
        <v>1721850</v>
      </c>
      <c r="I43" s="205">
        <v>0</v>
      </c>
      <c r="J43" s="207">
        <v>0</v>
      </c>
      <c r="K43" s="208">
        <v>0</v>
      </c>
      <c r="L43" s="207">
        <v>0</v>
      </c>
      <c r="M43" s="208">
        <v>0</v>
      </c>
      <c r="N43" s="207">
        <v>0</v>
      </c>
      <c r="O43" s="202"/>
    </row>
    <row r="44" spans="1:15" s="59" customFormat="1">
      <c r="A44" s="209">
        <v>37</v>
      </c>
      <c r="B44" s="206" t="s">
        <v>346</v>
      </c>
      <c r="C44" s="207">
        <v>814117</v>
      </c>
      <c r="D44" s="207">
        <v>814117</v>
      </c>
      <c r="E44" s="205">
        <v>0</v>
      </c>
      <c r="F44" s="207">
        <v>0</v>
      </c>
      <c r="G44" s="207">
        <v>0</v>
      </c>
      <c r="H44" s="207">
        <v>0</v>
      </c>
      <c r="I44" s="205">
        <v>0</v>
      </c>
      <c r="J44" s="207">
        <v>0</v>
      </c>
      <c r="K44" s="208">
        <v>0</v>
      </c>
      <c r="L44" s="207">
        <v>0</v>
      </c>
      <c r="M44" s="208">
        <v>0</v>
      </c>
      <c r="N44" s="207">
        <v>0</v>
      </c>
      <c r="O44" s="202"/>
    </row>
    <row r="45" spans="1:15" s="59" customFormat="1">
      <c r="A45" s="209">
        <v>38</v>
      </c>
      <c r="B45" s="206" t="s">
        <v>353</v>
      </c>
      <c r="C45" s="207">
        <v>3045081</v>
      </c>
      <c r="D45" s="207">
        <v>0</v>
      </c>
      <c r="E45" s="205">
        <v>0</v>
      </c>
      <c r="F45" s="207">
        <v>0</v>
      </c>
      <c r="G45" s="207">
        <v>0</v>
      </c>
      <c r="H45" s="207">
        <v>0</v>
      </c>
      <c r="I45" s="205">
        <v>0</v>
      </c>
      <c r="J45" s="207">
        <v>0</v>
      </c>
      <c r="K45" s="207">
        <v>2108</v>
      </c>
      <c r="L45" s="207">
        <v>3045081</v>
      </c>
      <c r="M45" s="208">
        <v>0</v>
      </c>
      <c r="N45" s="207">
        <v>0</v>
      </c>
      <c r="O45" s="202"/>
    </row>
    <row r="46" spans="1:15" s="59" customFormat="1">
      <c r="A46" s="209">
        <v>39</v>
      </c>
      <c r="B46" s="206" t="s">
        <v>358</v>
      </c>
      <c r="C46" s="207">
        <v>2244806</v>
      </c>
      <c r="D46" s="207">
        <v>0</v>
      </c>
      <c r="E46" s="205">
        <v>0</v>
      </c>
      <c r="F46" s="207">
        <v>0</v>
      </c>
      <c r="G46" s="210">
        <v>1120</v>
      </c>
      <c r="H46" s="207">
        <v>2244806</v>
      </c>
      <c r="I46" s="205">
        <v>0</v>
      </c>
      <c r="J46" s="207">
        <v>0</v>
      </c>
      <c r="K46" s="211">
        <v>0</v>
      </c>
      <c r="L46" s="207">
        <v>0</v>
      </c>
      <c r="M46" s="208">
        <v>0</v>
      </c>
      <c r="N46" s="207">
        <v>0</v>
      </c>
      <c r="O46" s="202"/>
    </row>
    <row r="47" spans="1:15" s="59" customFormat="1">
      <c r="A47" s="209">
        <v>40</v>
      </c>
      <c r="B47" s="206" t="s">
        <v>352</v>
      </c>
      <c r="C47" s="207">
        <v>1361273</v>
      </c>
      <c r="D47" s="207">
        <v>347471</v>
      </c>
      <c r="E47" s="205">
        <v>0</v>
      </c>
      <c r="F47" s="207">
        <v>0</v>
      </c>
      <c r="G47" s="207">
        <v>0</v>
      </c>
      <c r="H47" s="207">
        <v>0</v>
      </c>
      <c r="I47" s="205">
        <v>0</v>
      </c>
      <c r="J47" s="207">
        <v>0</v>
      </c>
      <c r="K47" s="207">
        <v>1105</v>
      </c>
      <c r="L47" s="207">
        <v>1013802</v>
      </c>
      <c r="M47" s="208">
        <v>0</v>
      </c>
      <c r="N47" s="207">
        <v>0</v>
      </c>
      <c r="O47" s="202"/>
    </row>
    <row r="48" spans="1:15" s="59" customFormat="1">
      <c r="A48" s="209">
        <v>41</v>
      </c>
      <c r="B48" s="206" t="s">
        <v>354</v>
      </c>
      <c r="C48" s="207">
        <v>2421596</v>
      </c>
      <c r="D48" s="207">
        <v>0</v>
      </c>
      <c r="E48" s="205">
        <v>0</v>
      </c>
      <c r="F48" s="207">
        <v>0</v>
      </c>
      <c r="G48" s="207">
        <v>1230.72</v>
      </c>
      <c r="H48" s="210">
        <v>2421596</v>
      </c>
      <c r="I48" s="205">
        <v>0</v>
      </c>
      <c r="J48" s="207">
        <v>0</v>
      </c>
      <c r="K48" s="208">
        <v>0</v>
      </c>
      <c r="L48" s="207">
        <v>0</v>
      </c>
      <c r="M48" s="208">
        <v>0</v>
      </c>
      <c r="N48" s="207">
        <v>0</v>
      </c>
      <c r="O48" s="202"/>
    </row>
    <row r="49" spans="1:15" s="59" customFormat="1">
      <c r="A49" s="209">
        <v>42</v>
      </c>
      <c r="B49" s="206" t="s">
        <v>357</v>
      </c>
      <c r="C49" s="207">
        <v>2056315</v>
      </c>
      <c r="D49" s="207">
        <v>0</v>
      </c>
      <c r="E49" s="205">
        <v>0</v>
      </c>
      <c r="F49" s="207">
        <v>0</v>
      </c>
      <c r="G49" s="207">
        <v>978</v>
      </c>
      <c r="H49" s="207">
        <v>2056315</v>
      </c>
      <c r="I49" s="205">
        <v>0</v>
      </c>
      <c r="J49" s="207">
        <v>0</v>
      </c>
      <c r="K49" s="211">
        <v>0</v>
      </c>
      <c r="L49" s="207">
        <v>0</v>
      </c>
      <c r="M49" s="208">
        <v>0</v>
      </c>
      <c r="N49" s="207">
        <v>0</v>
      </c>
      <c r="O49" s="202"/>
    </row>
    <row r="50" spans="1:15" s="59" customFormat="1">
      <c r="A50" s="209">
        <v>43</v>
      </c>
      <c r="B50" s="206" t="s">
        <v>350</v>
      </c>
      <c r="C50" s="207">
        <v>9473593</v>
      </c>
      <c r="D50" s="207">
        <v>0</v>
      </c>
      <c r="E50" s="205">
        <v>5</v>
      </c>
      <c r="F50" s="207">
        <v>9473593</v>
      </c>
      <c r="G50" s="207">
        <v>0</v>
      </c>
      <c r="H50" s="207">
        <v>0</v>
      </c>
      <c r="I50" s="205">
        <v>0</v>
      </c>
      <c r="J50" s="207">
        <v>0</v>
      </c>
      <c r="K50" s="208">
        <v>0</v>
      </c>
      <c r="L50" s="207">
        <v>0</v>
      </c>
      <c r="M50" s="208">
        <v>0</v>
      </c>
      <c r="N50" s="207">
        <v>0</v>
      </c>
      <c r="O50" s="202"/>
    </row>
    <row r="51" spans="1:15" s="59" customFormat="1">
      <c r="A51" s="209">
        <v>44</v>
      </c>
      <c r="B51" s="206" t="s">
        <v>268</v>
      </c>
      <c r="C51" s="207">
        <v>4441828</v>
      </c>
      <c r="D51" s="207">
        <v>0</v>
      </c>
      <c r="E51" s="205">
        <v>0</v>
      </c>
      <c r="F51" s="207">
        <v>0</v>
      </c>
      <c r="G51" s="207">
        <v>0</v>
      </c>
      <c r="H51" s="207">
        <v>0</v>
      </c>
      <c r="I51" s="205">
        <v>0</v>
      </c>
      <c r="J51" s="207">
        <v>0</v>
      </c>
      <c r="K51" s="207">
        <v>3081.4</v>
      </c>
      <c r="L51" s="207">
        <v>4441828</v>
      </c>
      <c r="M51" s="208">
        <v>0</v>
      </c>
      <c r="N51" s="207">
        <v>0</v>
      </c>
      <c r="O51" s="202"/>
    </row>
    <row r="52" spans="1:15" s="59" customFormat="1">
      <c r="A52" s="209">
        <v>45</v>
      </c>
      <c r="B52" s="206" t="s">
        <v>272</v>
      </c>
      <c r="C52" s="207">
        <v>3051089</v>
      </c>
      <c r="D52" s="207">
        <v>0</v>
      </c>
      <c r="E52" s="205">
        <v>0</v>
      </c>
      <c r="F52" s="207">
        <v>0</v>
      </c>
      <c r="G52" s="207">
        <v>1549</v>
      </c>
      <c r="H52" s="207">
        <v>3051089</v>
      </c>
      <c r="I52" s="205">
        <v>0</v>
      </c>
      <c r="J52" s="207">
        <v>0</v>
      </c>
      <c r="K52" s="208">
        <v>0</v>
      </c>
      <c r="L52" s="207">
        <v>0</v>
      </c>
      <c r="M52" s="208">
        <v>0</v>
      </c>
      <c r="N52" s="207">
        <v>0</v>
      </c>
      <c r="O52" s="202"/>
    </row>
    <row r="53" spans="1:15" s="59" customFormat="1">
      <c r="A53" s="209">
        <v>46</v>
      </c>
      <c r="B53" s="206" t="s">
        <v>364</v>
      </c>
      <c r="C53" s="207">
        <v>869749</v>
      </c>
      <c r="D53" s="207">
        <v>0</v>
      </c>
      <c r="E53" s="205">
        <v>0</v>
      </c>
      <c r="F53" s="207">
        <v>0</v>
      </c>
      <c r="G53" s="207">
        <v>431.5</v>
      </c>
      <c r="H53" s="207">
        <v>869749</v>
      </c>
      <c r="I53" s="205">
        <v>0</v>
      </c>
      <c r="J53" s="207">
        <v>0</v>
      </c>
      <c r="K53" s="208">
        <v>0</v>
      </c>
      <c r="L53" s="207">
        <v>0</v>
      </c>
      <c r="M53" s="208">
        <v>0</v>
      </c>
      <c r="N53" s="207">
        <v>0</v>
      </c>
      <c r="O53" s="202"/>
    </row>
    <row r="54" spans="1:15" s="59" customFormat="1">
      <c r="A54" s="209">
        <v>47</v>
      </c>
      <c r="B54" s="206" t="s">
        <v>597</v>
      </c>
      <c r="C54" s="207">
        <v>869880</v>
      </c>
      <c r="D54" s="207">
        <v>0</v>
      </c>
      <c r="E54" s="205">
        <v>0</v>
      </c>
      <c r="F54" s="207">
        <v>0</v>
      </c>
      <c r="G54" s="207">
        <v>431.5</v>
      </c>
      <c r="H54" s="210">
        <v>869880</v>
      </c>
      <c r="I54" s="205">
        <v>0</v>
      </c>
      <c r="J54" s="207">
        <v>0</v>
      </c>
      <c r="K54" s="211">
        <v>0</v>
      </c>
      <c r="L54" s="207">
        <v>0</v>
      </c>
      <c r="M54" s="208">
        <v>0</v>
      </c>
      <c r="N54" s="207">
        <v>0</v>
      </c>
      <c r="O54" s="202"/>
    </row>
    <row r="55" spans="1:15" s="59" customFormat="1" ht="30">
      <c r="A55" s="209">
        <v>48</v>
      </c>
      <c r="B55" s="206" t="s">
        <v>598</v>
      </c>
      <c r="C55" s="207">
        <v>172302</v>
      </c>
      <c r="D55" s="207">
        <v>172302</v>
      </c>
      <c r="E55" s="205">
        <v>0</v>
      </c>
      <c r="F55" s="207">
        <v>0</v>
      </c>
      <c r="G55" s="207">
        <v>0</v>
      </c>
      <c r="H55" s="207">
        <v>0</v>
      </c>
      <c r="I55" s="205">
        <v>0</v>
      </c>
      <c r="J55" s="207">
        <v>0</v>
      </c>
      <c r="K55" s="208">
        <v>0</v>
      </c>
      <c r="L55" s="207">
        <v>0</v>
      </c>
      <c r="M55" s="208">
        <v>0</v>
      </c>
      <c r="N55" s="207">
        <v>0</v>
      </c>
      <c r="O55" s="202"/>
    </row>
    <row r="56" spans="1:15" s="59" customFormat="1">
      <c r="A56" s="209">
        <v>49</v>
      </c>
      <c r="B56" s="206" t="s">
        <v>367</v>
      </c>
      <c r="C56" s="207">
        <v>3706393</v>
      </c>
      <c r="D56" s="207">
        <v>3706393</v>
      </c>
      <c r="E56" s="205">
        <v>0</v>
      </c>
      <c r="F56" s="207">
        <v>0</v>
      </c>
      <c r="G56" s="207">
        <v>0</v>
      </c>
      <c r="H56" s="207">
        <v>0</v>
      </c>
      <c r="I56" s="205">
        <v>0</v>
      </c>
      <c r="J56" s="207">
        <v>0</v>
      </c>
      <c r="K56" s="208">
        <v>0</v>
      </c>
      <c r="L56" s="207">
        <v>0</v>
      </c>
      <c r="M56" s="208">
        <v>0</v>
      </c>
      <c r="N56" s="207">
        <v>0</v>
      </c>
      <c r="O56" s="202"/>
    </row>
    <row r="57" spans="1:15" s="59" customFormat="1">
      <c r="A57" s="209">
        <v>50</v>
      </c>
      <c r="B57" s="206" t="s">
        <v>241</v>
      </c>
      <c r="C57" s="207">
        <v>698585</v>
      </c>
      <c r="D57" s="207">
        <v>698585</v>
      </c>
      <c r="E57" s="205">
        <v>0</v>
      </c>
      <c r="F57" s="207">
        <v>0</v>
      </c>
      <c r="G57" s="210">
        <v>0</v>
      </c>
      <c r="H57" s="207">
        <v>0</v>
      </c>
      <c r="I57" s="205">
        <v>0</v>
      </c>
      <c r="J57" s="207">
        <v>0</v>
      </c>
      <c r="K57" s="211">
        <v>0</v>
      </c>
      <c r="L57" s="207">
        <v>0</v>
      </c>
      <c r="M57" s="208">
        <v>0</v>
      </c>
      <c r="N57" s="207">
        <v>0</v>
      </c>
      <c r="O57" s="202"/>
    </row>
    <row r="58" spans="1:15" s="59" customFormat="1">
      <c r="A58" s="209">
        <v>51</v>
      </c>
      <c r="B58" s="206" t="s">
        <v>362</v>
      </c>
      <c r="C58" s="207">
        <v>951740</v>
      </c>
      <c r="D58" s="207">
        <v>0</v>
      </c>
      <c r="E58" s="205">
        <v>0</v>
      </c>
      <c r="F58" s="207">
        <v>0</v>
      </c>
      <c r="G58" s="207">
        <v>471.1</v>
      </c>
      <c r="H58" s="207">
        <v>951740</v>
      </c>
      <c r="I58" s="205">
        <v>0</v>
      </c>
      <c r="J58" s="207">
        <v>0</v>
      </c>
      <c r="K58" s="208">
        <v>0</v>
      </c>
      <c r="L58" s="207">
        <v>0</v>
      </c>
      <c r="M58" s="208">
        <v>0</v>
      </c>
      <c r="N58" s="207">
        <v>0</v>
      </c>
      <c r="O58" s="202"/>
    </row>
    <row r="59" spans="1:15">
      <c r="A59" s="209">
        <v>52</v>
      </c>
      <c r="B59" s="206" t="s">
        <v>172</v>
      </c>
      <c r="C59" s="207">
        <v>2056139</v>
      </c>
      <c r="D59" s="207">
        <v>0</v>
      </c>
      <c r="E59" s="205">
        <v>0</v>
      </c>
      <c r="F59" s="207">
        <v>0</v>
      </c>
      <c r="G59" s="207">
        <v>1020</v>
      </c>
      <c r="H59" s="207">
        <v>2056139</v>
      </c>
      <c r="I59" s="205">
        <v>0</v>
      </c>
      <c r="J59" s="207">
        <v>0</v>
      </c>
      <c r="K59" s="211">
        <v>0</v>
      </c>
      <c r="L59" s="207">
        <v>0</v>
      </c>
      <c r="M59" s="208">
        <v>0</v>
      </c>
      <c r="N59" s="207">
        <v>0</v>
      </c>
      <c r="O59" s="202"/>
    </row>
    <row r="60" spans="1:15">
      <c r="A60" s="209">
        <v>53</v>
      </c>
      <c r="B60" s="206" t="s">
        <v>199</v>
      </c>
      <c r="C60" s="207">
        <v>1321356</v>
      </c>
      <c r="D60" s="207">
        <v>0</v>
      </c>
      <c r="E60" s="205">
        <v>0</v>
      </c>
      <c r="F60" s="207">
        <v>0</v>
      </c>
      <c r="G60" s="207">
        <v>662</v>
      </c>
      <c r="H60" s="210">
        <v>1321356</v>
      </c>
      <c r="I60" s="205">
        <v>0</v>
      </c>
      <c r="J60" s="207">
        <v>0</v>
      </c>
      <c r="K60" s="208">
        <v>0</v>
      </c>
      <c r="L60" s="207">
        <v>0</v>
      </c>
      <c r="M60" s="208">
        <v>0</v>
      </c>
      <c r="N60" s="207">
        <v>0</v>
      </c>
      <c r="O60" s="202"/>
    </row>
    <row r="61" spans="1:15" ht="30">
      <c r="A61" s="209">
        <v>54</v>
      </c>
      <c r="B61" s="206" t="s">
        <v>262</v>
      </c>
      <c r="C61" s="207">
        <v>1679278</v>
      </c>
      <c r="D61" s="207">
        <v>355519</v>
      </c>
      <c r="E61" s="205">
        <v>0</v>
      </c>
      <c r="F61" s="207">
        <v>0</v>
      </c>
      <c r="G61" s="207">
        <v>663.3</v>
      </c>
      <c r="H61" s="207">
        <v>1323759</v>
      </c>
      <c r="I61" s="205">
        <v>0</v>
      </c>
      <c r="J61" s="207">
        <v>0</v>
      </c>
      <c r="K61" s="208">
        <v>0</v>
      </c>
      <c r="L61" s="207">
        <v>0</v>
      </c>
      <c r="M61" s="208">
        <v>0</v>
      </c>
      <c r="N61" s="207">
        <v>0</v>
      </c>
      <c r="O61" s="202"/>
    </row>
    <row r="62" spans="1:15" s="7" customFormat="1">
      <c r="A62" s="209">
        <v>55</v>
      </c>
      <c r="B62" s="206" t="s">
        <v>197</v>
      </c>
      <c r="C62" s="207">
        <v>1100896</v>
      </c>
      <c r="D62" s="207">
        <v>0</v>
      </c>
      <c r="E62" s="205">
        <v>0</v>
      </c>
      <c r="F62" s="207">
        <v>0</v>
      </c>
      <c r="G62" s="207">
        <v>549</v>
      </c>
      <c r="H62" s="210">
        <v>1100896</v>
      </c>
      <c r="I62" s="205">
        <v>0</v>
      </c>
      <c r="J62" s="207">
        <v>0</v>
      </c>
      <c r="K62" s="208">
        <v>0</v>
      </c>
      <c r="L62" s="207">
        <v>0</v>
      </c>
      <c r="M62" s="208">
        <v>0</v>
      </c>
      <c r="N62" s="207">
        <v>0</v>
      </c>
      <c r="O62" s="202"/>
    </row>
    <row r="63" spans="1:15" ht="30">
      <c r="A63" s="209">
        <v>56</v>
      </c>
      <c r="B63" s="206" t="s">
        <v>261</v>
      </c>
      <c r="C63" s="207">
        <v>1729707</v>
      </c>
      <c r="D63" s="207">
        <v>630140</v>
      </c>
      <c r="E63" s="205">
        <v>0</v>
      </c>
      <c r="F63" s="207">
        <v>0</v>
      </c>
      <c r="G63" s="207">
        <v>0</v>
      </c>
      <c r="H63" s="207">
        <v>0</v>
      </c>
      <c r="I63" s="205">
        <v>0</v>
      </c>
      <c r="J63" s="207">
        <v>0</v>
      </c>
      <c r="K63" s="207">
        <v>760.3</v>
      </c>
      <c r="L63" s="207">
        <v>1099567</v>
      </c>
      <c r="M63" s="208">
        <v>0</v>
      </c>
      <c r="N63" s="207">
        <v>0</v>
      </c>
      <c r="O63" s="202"/>
    </row>
    <row r="64" spans="1:15" s="59" customFormat="1">
      <c r="A64" s="209">
        <v>57</v>
      </c>
      <c r="B64" s="206" t="s">
        <v>182</v>
      </c>
      <c r="C64" s="207">
        <v>451222.57</v>
      </c>
      <c r="D64" s="207">
        <v>451222.57</v>
      </c>
      <c r="E64" s="205">
        <v>0</v>
      </c>
      <c r="F64" s="207">
        <v>0</v>
      </c>
      <c r="G64" s="207">
        <v>0</v>
      </c>
      <c r="H64" s="207">
        <v>0</v>
      </c>
      <c r="I64" s="205">
        <v>0</v>
      </c>
      <c r="J64" s="207">
        <v>0</v>
      </c>
      <c r="K64" s="208">
        <v>0</v>
      </c>
      <c r="L64" s="207">
        <v>0</v>
      </c>
      <c r="M64" s="208">
        <v>0</v>
      </c>
      <c r="N64" s="207">
        <v>0</v>
      </c>
      <c r="O64" s="202"/>
    </row>
    <row r="65" spans="1:15" ht="30">
      <c r="A65" s="209">
        <v>58</v>
      </c>
      <c r="B65" s="206" t="s">
        <v>231</v>
      </c>
      <c r="C65" s="207">
        <v>703675.57</v>
      </c>
      <c r="D65" s="207">
        <v>0</v>
      </c>
      <c r="E65" s="205">
        <v>0</v>
      </c>
      <c r="F65" s="207">
        <v>0</v>
      </c>
      <c r="G65" s="207">
        <v>378</v>
      </c>
      <c r="H65" s="207">
        <v>703675.57</v>
      </c>
      <c r="I65" s="205">
        <v>0</v>
      </c>
      <c r="J65" s="207">
        <v>0</v>
      </c>
      <c r="K65" s="208">
        <v>0</v>
      </c>
      <c r="L65" s="207">
        <v>0</v>
      </c>
      <c r="M65" s="208">
        <v>0</v>
      </c>
      <c r="N65" s="207">
        <v>0</v>
      </c>
      <c r="O65" s="202"/>
    </row>
    <row r="66" spans="1:15">
      <c r="A66" s="209">
        <v>59</v>
      </c>
      <c r="B66" s="206" t="s">
        <v>193</v>
      </c>
      <c r="C66" s="207">
        <v>1053533.22</v>
      </c>
      <c r="D66" s="207">
        <v>1053533.22</v>
      </c>
      <c r="E66" s="205">
        <v>0</v>
      </c>
      <c r="F66" s="207">
        <v>0</v>
      </c>
      <c r="G66" s="207">
        <v>0</v>
      </c>
      <c r="H66" s="207">
        <v>0</v>
      </c>
      <c r="I66" s="205">
        <v>0</v>
      </c>
      <c r="J66" s="207">
        <v>0</v>
      </c>
      <c r="K66" s="208">
        <v>0</v>
      </c>
      <c r="L66" s="207">
        <v>0</v>
      </c>
      <c r="M66" s="208">
        <v>0</v>
      </c>
      <c r="N66" s="207">
        <v>0</v>
      </c>
      <c r="O66" s="202"/>
    </row>
    <row r="67" spans="1:15">
      <c r="A67" s="209">
        <v>60</v>
      </c>
      <c r="B67" s="206" t="s">
        <v>171</v>
      </c>
      <c r="C67" s="207">
        <v>1253738</v>
      </c>
      <c r="D67" s="207">
        <v>0</v>
      </c>
      <c r="E67" s="205">
        <v>0</v>
      </c>
      <c r="F67" s="207">
        <v>0</v>
      </c>
      <c r="G67" s="207">
        <v>622</v>
      </c>
      <c r="H67" s="207">
        <v>1253738</v>
      </c>
      <c r="I67" s="205">
        <v>0</v>
      </c>
      <c r="J67" s="207">
        <v>0</v>
      </c>
      <c r="K67" s="211">
        <v>0</v>
      </c>
      <c r="L67" s="207">
        <v>0</v>
      </c>
      <c r="M67" s="208">
        <v>0</v>
      </c>
      <c r="N67" s="207">
        <v>0</v>
      </c>
      <c r="O67" s="202"/>
    </row>
    <row r="68" spans="1:15" s="7" customFormat="1">
      <c r="A68" s="209">
        <v>61</v>
      </c>
      <c r="B68" s="206" t="s">
        <v>604</v>
      </c>
      <c r="C68" s="207">
        <v>1870046</v>
      </c>
      <c r="D68" s="207">
        <v>0</v>
      </c>
      <c r="E68" s="205">
        <v>1</v>
      </c>
      <c r="F68" s="207">
        <v>1870046</v>
      </c>
      <c r="G68" s="207">
        <v>0</v>
      </c>
      <c r="H68" s="207">
        <v>0</v>
      </c>
      <c r="I68" s="205">
        <v>0</v>
      </c>
      <c r="J68" s="207">
        <v>0</v>
      </c>
      <c r="K68" s="208">
        <v>0</v>
      </c>
      <c r="L68" s="207">
        <v>0</v>
      </c>
      <c r="M68" s="208">
        <v>0</v>
      </c>
      <c r="N68" s="207">
        <v>0</v>
      </c>
      <c r="O68" s="202"/>
    </row>
    <row r="69" spans="1:15">
      <c r="A69" s="209">
        <v>62</v>
      </c>
      <c r="B69" s="206" t="s">
        <v>274</v>
      </c>
      <c r="C69" s="207">
        <v>3720676</v>
      </c>
      <c r="D69" s="207">
        <v>0</v>
      </c>
      <c r="E69" s="205">
        <v>2</v>
      </c>
      <c r="F69" s="207">
        <v>3720676</v>
      </c>
      <c r="G69" s="207">
        <v>0</v>
      </c>
      <c r="H69" s="207">
        <v>0</v>
      </c>
      <c r="I69" s="205">
        <v>0</v>
      </c>
      <c r="J69" s="207">
        <v>0</v>
      </c>
      <c r="K69" s="208">
        <v>0</v>
      </c>
      <c r="L69" s="207">
        <v>0</v>
      </c>
      <c r="M69" s="208">
        <v>0</v>
      </c>
      <c r="N69" s="207">
        <v>0</v>
      </c>
      <c r="O69" s="202"/>
    </row>
    <row r="70" spans="1:15">
      <c r="A70" s="209">
        <v>63</v>
      </c>
      <c r="B70" s="206" t="s">
        <v>176</v>
      </c>
      <c r="C70" s="207">
        <v>3687908</v>
      </c>
      <c r="D70" s="207">
        <v>3687908</v>
      </c>
      <c r="E70" s="205">
        <v>0</v>
      </c>
      <c r="F70" s="207">
        <v>0</v>
      </c>
      <c r="G70" s="207">
        <v>0</v>
      </c>
      <c r="H70" s="207">
        <v>0</v>
      </c>
      <c r="I70" s="205">
        <v>0</v>
      </c>
      <c r="J70" s="207">
        <v>0</v>
      </c>
      <c r="K70" s="211">
        <v>0</v>
      </c>
      <c r="L70" s="207">
        <v>0</v>
      </c>
      <c r="M70" s="208">
        <v>0</v>
      </c>
      <c r="N70" s="207">
        <v>0</v>
      </c>
      <c r="O70" s="202"/>
    </row>
    <row r="71" spans="1:15">
      <c r="A71" s="209">
        <v>64</v>
      </c>
      <c r="B71" s="206" t="s">
        <v>152</v>
      </c>
      <c r="C71" s="207">
        <v>1760967.35</v>
      </c>
      <c r="D71" s="207">
        <v>0</v>
      </c>
      <c r="E71" s="205">
        <v>0</v>
      </c>
      <c r="F71" s="207">
        <v>0</v>
      </c>
      <c r="G71" s="207">
        <v>881</v>
      </c>
      <c r="H71" s="207">
        <v>1760967.35</v>
      </c>
      <c r="I71" s="205">
        <v>0</v>
      </c>
      <c r="J71" s="207">
        <v>0</v>
      </c>
      <c r="K71" s="211">
        <v>0</v>
      </c>
      <c r="L71" s="207">
        <v>0</v>
      </c>
      <c r="M71" s="208">
        <v>0</v>
      </c>
      <c r="N71" s="207">
        <v>0</v>
      </c>
      <c r="O71" s="202"/>
    </row>
    <row r="72" spans="1:15">
      <c r="A72" s="209">
        <v>65</v>
      </c>
      <c r="B72" s="206" t="s">
        <v>196</v>
      </c>
      <c r="C72" s="207">
        <v>881947</v>
      </c>
      <c r="D72" s="207">
        <v>881947</v>
      </c>
      <c r="E72" s="205">
        <v>0</v>
      </c>
      <c r="F72" s="207">
        <v>0</v>
      </c>
      <c r="G72" s="207">
        <v>0</v>
      </c>
      <c r="H72" s="207">
        <v>0</v>
      </c>
      <c r="I72" s="205">
        <v>0</v>
      </c>
      <c r="J72" s="207">
        <v>0</v>
      </c>
      <c r="K72" s="208">
        <v>0</v>
      </c>
      <c r="L72" s="207">
        <v>0</v>
      </c>
      <c r="M72" s="208">
        <v>0</v>
      </c>
      <c r="N72" s="207">
        <v>0</v>
      </c>
      <c r="O72" s="202"/>
    </row>
    <row r="73" spans="1:15">
      <c r="A73" s="209">
        <v>66</v>
      </c>
      <c r="B73" s="206" t="s">
        <v>211</v>
      </c>
      <c r="C73" s="207">
        <v>517739</v>
      </c>
      <c r="D73" s="207">
        <v>0</v>
      </c>
      <c r="E73" s="205">
        <v>0</v>
      </c>
      <c r="F73" s="207">
        <v>0</v>
      </c>
      <c r="G73" s="207">
        <v>252</v>
      </c>
      <c r="H73" s="210">
        <v>517739</v>
      </c>
      <c r="I73" s="205">
        <v>0</v>
      </c>
      <c r="J73" s="207">
        <v>0</v>
      </c>
      <c r="K73" s="208">
        <v>0</v>
      </c>
      <c r="L73" s="207">
        <v>0</v>
      </c>
      <c r="M73" s="208">
        <v>0</v>
      </c>
      <c r="N73" s="207">
        <v>0</v>
      </c>
      <c r="O73" s="202"/>
    </row>
    <row r="74" spans="1:15">
      <c r="A74" s="209">
        <v>67</v>
      </c>
      <c r="B74" s="206" t="s">
        <v>213</v>
      </c>
      <c r="C74" s="207">
        <v>1728895</v>
      </c>
      <c r="D74" s="207">
        <v>0</v>
      </c>
      <c r="E74" s="205">
        <v>0</v>
      </c>
      <c r="F74" s="207">
        <v>0</v>
      </c>
      <c r="G74" s="207">
        <v>873.06</v>
      </c>
      <c r="H74" s="207">
        <v>1728895</v>
      </c>
      <c r="I74" s="212">
        <v>0</v>
      </c>
      <c r="J74" s="207">
        <v>0</v>
      </c>
      <c r="K74" s="211">
        <v>0</v>
      </c>
      <c r="L74" s="207">
        <v>0</v>
      </c>
      <c r="M74" s="208">
        <v>0</v>
      </c>
      <c r="N74" s="207">
        <v>0</v>
      </c>
      <c r="O74" s="202"/>
    </row>
    <row r="75" spans="1:15">
      <c r="A75" s="209">
        <v>68</v>
      </c>
      <c r="B75" s="206" t="s">
        <v>184</v>
      </c>
      <c r="C75" s="207">
        <v>682529</v>
      </c>
      <c r="D75" s="207">
        <v>0</v>
      </c>
      <c r="E75" s="205">
        <v>0</v>
      </c>
      <c r="F75" s="207">
        <v>0</v>
      </c>
      <c r="G75" s="207">
        <v>335.6</v>
      </c>
      <c r="H75" s="207">
        <v>682529</v>
      </c>
      <c r="I75" s="205">
        <v>0</v>
      </c>
      <c r="J75" s="207">
        <v>0</v>
      </c>
      <c r="K75" s="208">
        <v>0</v>
      </c>
      <c r="L75" s="207">
        <v>0</v>
      </c>
      <c r="M75" s="208">
        <v>0</v>
      </c>
      <c r="N75" s="207">
        <v>0</v>
      </c>
      <c r="O75" s="202"/>
    </row>
    <row r="76" spans="1:15">
      <c r="A76" s="209">
        <v>69</v>
      </c>
      <c r="B76" s="206" t="s">
        <v>215</v>
      </c>
      <c r="C76" s="207">
        <v>582157</v>
      </c>
      <c r="D76" s="207">
        <v>0</v>
      </c>
      <c r="E76" s="205">
        <v>0</v>
      </c>
      <c r="F76" s="207">
        <v>0</v>
      </c>
      <c r="G76" s="207">
        <v>285</v>
      </c>
      <c r="H76" s="207">
        <v>582157</v>
      </c>
      <c r="I76" s="205">
        <v>0</v>
      </c>
      <c r="J76" s="207">
        <v>0</v>
      </c>
      <c r="K76" s="211">
        <v>0</v>
      </c>
      <c r="L76" s="207">
        <v>0</v>
      </c>
      <c r="M76" s="208">
        <v>0</v>
      </c>
      <c r="N76" s="207">
        <v>0</v>
      </c>
      <c r="O76" s="202"/>
    </row>
    <row r="77" spans="1:15">
      <c r="A77" s="209">
        <v>70</v>
      </c>
      <c r="B77" s="206" t="s">
        <v>150</v>
      </c>
      <c r="C77" s="207">
        <v>701704</v>
      </c>
      <c r="D77" s="207">
        <v>701704</v>
      </c>
      <c r="E77" s="205">
        <v>0</v>
      </c>
      <c r="F77" s="207">
        <v>0</v>
      </c>
      <c r="G77" s="210">
        <v>0</v>
      </c>
      <c r="H77" s="207">
        <v>0</v>
      </c>
      <c r="I77" s="205">
        <v>0</v>
      </c>
      <c r="J77" s="207">
        <v>0</v>
      </c>
      <c r="K77" s="211">
        <v>0</v>
      </c>
      <c r="L77" s="207">
        <v>0</v>
      </c>
      <c r="M77" s="208">
        <v>0</v>
      </c>
      <c r="N77" s="207">
        <v>0</v>
      </c>
      <c r="O77" s="202"/>
    </row>
    <row r="78" spans="1:15">
      <c r="A78" s="209">
        <v>71</v>
      </c>
      <c r="B78" s="206" t="s">
        <v>186</v>
      </c>
      <c r="C78" s="207">
        <v>1969149</v>
      </c>
      <c r="D78" s="207">
        <v>0</v>
      </c>
      <c r="E78" s="205">
        <v>0</v>
      </c>
      <c r="F78" s="207">
        <v>0</v>
      </c>
      <c r="G78" s="207">
        <v>995.8</v>
      </c>
      <c r="H78" s="207">
        <v>1969149</v>
      </c>
      <c r="I78" s="205">
        <v>0</v>
      </c>
      <c r="J78" s="207">
        <v>0</v>
      </c>
      <c r="K78" s="208">
        <v>0</v>
      </c>
      <c r="L78" s="207">
        <v>0</v>
      </c>
      <c r="M78" s="208">
        <v>0</v>
      </c>
      <c r="N78" s="207">
        <v>0</v>
      </c>
      <c r="O78" s="202"/>
    </row>
    <row r="79" spans="1:15">
      <c r="A79" s="209">
        <v>72</v>
      </c>
      <c r="B79" s="206" t="s">
        <v>164</v>
      </c>
      <c r="C79" s="207">
        <v>1023088</v>
      </c>
      <c r="D79" s="207">
        <v>0</v>
      </c>
      <c r="E79" s="205">
        <v>0</v>
      </c>
      <c r="F79" s="207">
        <v>0</v>
      </c>
      <c r="G79" s="207">
        <v>0</v>
      </c>
      <c r="H79" s="207">
        <v>0</v>
      </c>
      <c r="I79" s="205">
        <v>0</v>
      </c>
      <c r="J79" s="207">
        <v>0</v>
      </c>
      <c r="K79" s="207">
        <v>694</v>
      </c>
      <c r="L79" s="210">
        <v>1023088</v>
      </c>
      <c r="M79" s="208">
        <v>0</v>
      </c>
      <c r="N79" s="207">
        <v>0</v>
      </c>
      <c r="O79" s="202"/>
    </row>
    <row r="80" spans="1:15">
      <c r="A80" s="209">
        <v>73</v>
      </c>
      <c r="B80" s="206" t="s">
        <v>260</v>
      </c>
      <c r="C80" s="207">
        <v>3334570</v>
      </c>
      <c r="D80" s="207">
        <v>3334570</v>
      </c>
      <c r="E80" s="205">
        <v>0</v>
      </c>
      <c r="F80" s="207">
        <v>0</v>
      </c>
      <c r="G80" s="210">
        <v>0</v>
      </c>
      <c r="H80" s="207">
        <v>0</v>
      </c>
      <c r="I80" s="205">
        <v>0</v>
      </c>
      <c r="J80" s="207">
        <v>0</v>
      </c>
      <c r="K80" s="208">
        <v>0</v>
      </c>
      <c r="L80" s="207">
        <v>0</v>
      </c>
      <c r="M80" s="208">
        <v>0</v>
      </c>
      <c r="N80" s="207">
        <v>0</v>
      </c>
      <c r="O80" s="202"/>
    </row>
    <row r="81" spans="1:15">
      <c r="A81" s="209">
        <v>74</v>
      </c>
      <c r="B81" s="206" t="s">
        <v>230</v>
      </c>
      <c r="C81" s="207">
        <v>1127374.33</v>
      </c>
      <c r="D81" s="207">
        <v>1127374.33</v>
      </c>
      <c r="E81" s="205">
        <v>0</v>
      </c>
      <c r="F81" s="207">
        <v>0</v>
      </c>
      <c r="G81" s="207">
        <v>0</v>
      </c>
      <c r="H81" s="207">
        <v>0</v>
      </c>
      <c r="I81" s="205">
        <v>0</v>
      </c>
      <c r="J81" s="207">
        <v>0</v>
      </c>
      <c r="K81" s="208">
        <v>0</v>
      </c>
      <c r="L81" s="207">
        <v>0</v>
      </c>
      <c r="M81" s="208">
        <v>0</v>
      </c>
      <c r="N81" s="207">
        <v>0</v>
      </c>
      <c r="O81" s="202"/>
    </row>
    <row r="82" spans="1:15">
      <c r="A82" s="209">
        <v>75</v>
      </c>
      <c r="B82" s="206" t="s">
        <v>159</v>
      </c>
      <c r="C82" s="207">
        <v>1161456</v>
      </c>
      <c r="D82" s="207">
        <v>1161456</v>
      </c>
      <c r="E82" s="205">
        <v>0</v>
      </c>
      <c r="F82" s="207">
        <v>0</v>
      </c>
      <c r="G82" s="207">
        <v>0</v>
      </c>
      <c r="H82" s="207">
        <v>0</v>
      </c>
      <c r="I82" s="205">
        <v>0</v>
      </c>
      <c r="J82" s="207">
        <v>0</v>
      </c>
      <c r="K82" s="208">
        <v>0</v>
      </c>
      <c r="L82" s="207">
        <v>0</v>
      </c>
      <c r="M82" s="208">
        <v>0</v>
      </c>
      <c r="N82" s="207">
        <v>0</v>
      </c>
      <c r="O82" s="202"/>
    </row>
    <row r="83" spans="1:15">
      <c r="A83" s="209">
        <v>76</v>
      </c>
      <c r="B83" s="206" t="s">
        <v>201</v>
      </c>
      <c r="C83" s="207">
        <v>1197250.23</v>
      </c>
      <c r="D83" s="207">
        <v>1197250.23</v>
      </c>
      <c r="E83" s="205">
        <v>0</v>
      </c>
      <c r="F83" s="207">
        <v>0</v>
      </c>
      <c r="G83" s="210">
        <v>0</v>
      </c>
      <c r="H83" s="207">
        <v>0</v>
      </c>
      <c r="I83" s="205">
        <v>0</v>
      </c>
      <c r="J83" s="207">
        <v>0</v>
      </c>
      <c r="K83" s="208">
        <v>0</v>
      </c>
      <c r="L83" s="207">
        <v>0</v>
      </c>
      <c r="M83" s="208">
        <v>0</v>
      </c>
      <c r="N83" s="207">
        <v>0</v>
      </c>
      <c r="O83" s="202"/>
    </row>
    <row r="84" spans="1:15">
      <c r="A84" s="209">
        <v>77</v>
      </c>
      <c r="B84" s="206" t="s">
        <v>227</v>
      </c>
      <c r="C84" s="207">
        <v>2784233</v>
      </c>
      <c r="D84" s="207">
        <v>0</v>
      </c>
      <c r="E84" s="205">
        <v>0</v>
      </c>
      <c r="F84" s="207">
        <v>0</v>
      </c>
      <c r="G84" s="207">
        <v>1391</v>
      </c>
      <c r="H84" s="207">
        <v>2784233</v>
      </c>
      <c r="I84" s="205">
        <v>0</v>
      </c>
      <c r="J84" s="207">
        <v>0</v>
      </c>
      <c r="K84" s="208">
        <v>0</v>
      </c>
      <c r="L84" s="207">
        <v>0</v>
      </c>
      <c r="M84" s="208">
        <v>0</v>
      </c>
      <c r="N84" s="207">
        <v>0</v>
      </c>
      <c r="O84" s="202"/>
    </row>
    <row r="85" spans="1:15">
      <c r="A85" s="209">
        <v>78</v>
      </c>
      <c r="B85" s="206" t="s">
        <v>217</v>
      </c>
      <c r="C85" s="207">
        <v>2369961</v>
      </c>
      <c r="D85" s="207">
        <v>2369961</v>
      </c>
      <c r="E85" s="205">
        <v>0</v>
      </c>
      <c r="F85" s="207">
        <v>0</v>
      </c>
      <c r="G85" s="207">
        <v>0</v>
      </c>
      <c r="H85" s="207">
        <v>0</v>
      </c>
      <c r="I85" s="205">
        <v>0</v>
      </c>
      <c r="J85" s="207">
        <v>0</v>
      </c>
      <c r="K85" s="211">
        <v>0</v>
      </c>
      <c r="L85" s="207">
        <v>0</v>
      </c>
      <c r="M85" s="208">
        <v>0</v>
      </c>
      <c r="N85" s="207">
        <v>0</v>
      </c>
      <c r="O85" s="202"/>
    </row>
    <row r="86" spans="1:15">
      <c r="A86" s="209">
        <v>79</v>
      </c>
      <c r="B86" s="206" t="s">
        <v>599</v>
      </c>
      <c r="C86" s="207">
        <v>672819</v>
      </c>
      <c r="D86" s="207">
        <v>0</v>
      </c>
      <c r="E86" s="205">
        <v>0</v>
      </c>
      <c r="F86" s="207">
        <v>0</v>
      </c>
      <c r="G86" s="207">
        <v>331.4</v>
      </c>
      <c r="H86" s="207">
        <v>672819</v>
      </c>
      <c r="I86" s="205">
        <v>0</v>
      </c>
      <c r="J86" s="207">
        <v>0</v>
      </c>
      <c r="K86" s="211">
        <v>0</v>
      </c>
      <c r="L86" s="207">
        <v>0</v>
      </c>
      <c r="M86" s="208">
        <v>0</v>
      </c>
      <c r="N86" s="207">
        <v>0</v>
      </c>
      <c r="O86" s="202"/>
    </row>
    <row r="87" spans="1:15">
      <c r="A87" s="209">
        <v>80</v>
      </c>
      <c r="B87" s="206" t="s">
        <v>264</v>
      </c>
      <c r="C87" s="207">
        <v>1651491</v>
      </c>
      <c r="D87" s="207">
        <v>1651491</v>
      </c>
      <c r="E87" s="205">
        <v>0</v>
      </c>
      <c r="F87" s="207">
        <v>0</v>
      </c>
      <c r="G87" s="207">
        <v>0</v>
      </c>
      <c r="H87" s="207">
        <v>0</v>
      </c>
      <c r="I87" s="205">
        <v>0</v>
      </c>
      <c r="J87" s="207">
        <v>0</v>
      </c>
      <c r="K87" s="208">
        <v>0</v>
      </c>
      <c r="L87" s="207">
        <v>0</v>
      </c>
      <c r="M87" s="208">
        <v>0</v>
      </c>
      <c r="N87" s="207">
        <v>0</v>
      </c>
      <c r="O87" s="202"/>
    </row>
    <row r="88" spans="1:15">
      <c r="A88" s="209">
        <v>81</v>
      </c>
      <c r="B88" s="206" t="s">
        <v>179</v>
      </c>
      <c r="C88" s="207">
        <v>1432926</v>
      </c>
      <c r="D88" s="207">
        <v>0</v>
      </c>
      <c r="E88" s="205">
        <v>0</v>
      </c>
      <c r="F88" s="207">
        <v>0</v>
      </c>
      <c r="G88" s="207">
        <v>710.73</v>
      </c>
      <c r="H88" s="207">
        <v>1432926</v>
      </c>
      <c r="I88" s="205">
        <v>0</v>
      </c>
      <c r="J88" s="207">
        <v>0</v>
      </c>
      <c r="K88" s="211">
        <v>0</v>
      </c>
      <c r="L88" s="207">
        <v>0</v>
      </c>
      <c r="M88" s="208">
        <v>0</v>
      </c>
      <c r="N88" s="207">
        <v>0</v>
      </c>
      <c r="O88" s="202"/>
    </row>
    <row r="89" spans="1:15">
      <c r="A89" s="209">
        <v>82</v>
      </c>
      <c r="B89" s="206" t="s">
        <v>267</v>
      </c>
      <c r="C89" s="207">
        <v>1137886</v>
      </c>
      <c r="D89" s="207">
        <v>0</v>
      </c>
      <c r="E89" s="205">
        <v>0</v>
      </c>
      <c r="F89" s="207">
        <v>0</v>
      </c>
      <c r="G89" s="207">
        <v>0</v>
      </c>
      <c r="H89" s="207">
        <v>0</v>
      </c>
      <c r="I89" s="205">
        <v>0</v>
      </c>
      <c r="J89" s="207">
        <v>0</v>
      </c>
      <c r="K89" s="210">
        <v>785.5</v>
      </c>
      <c r="L89" s="207">
        <v>1137886</v>
      </c>
      <c r="M89" s="208">
        <v>0</v>
      </c>
      <c r="N89" s="207">
        <v>0</v>
      </c>
      <c r="O89" s="202"/>
    </row>
    <row r="90" spans="1:15">
      <c r="A90" s="209">
        <v>83</v>
      </c>
      <c r="B90" s="206" t="s">
        <v>229</v>
      </c>
      <c r="C90" s="207">
        <v>1814838</v>
      </c>
      <c r="D90" s="207">
        <v>0</v>
      </c>
      <c r="E90" s="205">
        <v>0</v>
      </c>
      <c r="F90" s="207">
        <v>0</v>
      </c>
      <c r="G90" s="207">
        <v>917</v>
      </c>
      <c r="H90" s="207">
        <v>1814838</v>
      </c>
      <c r="I90" s="205">
        <v>0</v>
      </c>
      <c r="J90" s="207">
        <v>0</v>
      </c>
      <c r="K90" s="208">
        <v>0</v>
      </c>
      <c r="L90" s="207">
        <v>0</v>
      </c>
      <c r="M90" s="208">
        <v>0</v>
      </c>
      <c r="N90" s="207">
        <v>0</v>
      </c>
      <c r="O90" s="202"/>
    </row>
    <row r="91" spans="1:15">
      <c r="A91" s="209">
        <v>84</v>
      </c>
      <c r="B91" s="206" t="s">
        <v>269</v>
      </c>
      <c r="C91" s="207">
        <v>1544359.54</v>
      </c>
      <c r="D91" s="207">
        <v>1544359.54</v>
      </c>
      <c r="E91" s="205">
        <v>0</v>
      </c>
      <c r="F91" s="207">
        <v>0</v>
      </c>
      <c r="G91" s="207">
        <v>0</v>
      </c>
      <c r="H91" s="207">
        <v>0</v>
      </c>
      <c r="I91" s="205">
        <v>0</v>
      </c>
      <c r="J91" s="207">
        <v>0</v>
      </c>
      <c r="K91" s="208">
        <v>0</v>
      </c>
      <c r="L91" s="207">
        <v>0</v>
      </c>
      <c r="M91" s="208">
        <v>0</v>
      </c>
      <c r="N91" s="207">
        <v>0</v>
      </c>
      <c r="O91" s="202"/>
    </row>
    <row r="92" spans="1:15" ht="30">
      <c r="A92" s="209">
        <v>85</v>
      </c>
      <c r="B92" s="206" t="s">
        <v>584</v>
      </c>
      <c r="C92" s="207">
        <v>1787034</v>
      </c>
      <c r="D92" s="207">
        <v>0</v>
      </c>
      <c r="E92" s="205">
        <v>1</v>
      </c>
      <c r="F92" s="207">
        <v>1787034</v>
      </c>
      <c r="G92" s="207">
        <v>0</v>
      </c>
      <c r="H92" s="207">
        <v>0</v>
      </c>
      <c r="I92" s="205">
        <v>0</v>
      </c>
      <c r="J92" s="207">
        <v>0</v>
      </c>
      <c r="K92" s="211">
        <v>0</v>
      </c>
      <c r="L92" s="207">
        <v>0</v>
      </c>
      <c r="M92" s="208">
        <v>0</v>
      </c>
      <c r="N92" s="207">
        <v>0</v>
      </c>
      <c r="O92" s="202"/>
    </row>
    <row r="93" spans="1:15" ht="30">
      <c r="A93" s="209">
        <v>86</v>
      </c>
      <c r="B93" s="206" t="s">
        <v>585</v>
      </c>
      <c r="C93" s="207">
        <v>437998.57</v>
      </c>
      <c r="D93" s="207">
        <v>437998.57</v>
      </c>
      <c r="E93" s="205">
        <v>0</v>
      </c>
      <c r="F93" s="207">
        <v>0</v>
      </c>
      <c r="G93" s="210">
        <v>0</v>
      </c>
      <c r="H93" s="207">
        <v>0</v>
      </c>
      <c r="I93" s="205">
        <v>0</v>
      </c>
      <c r="J93" s="207">
        <v>0</v>
      </c>
      <c r="K93" s="211">
        <v>0</v>
      </c>
      <c r="L93" s="207">
        <v>0</v>
      </c>
      <c r="M93" s="208">
        <v>0</v>
      </c>
      <c r="N93" s="207">
        <v>0</v>
      </c>
      <c r="O93" s="202"/>
    </row>
    <row r="94" spans="1:15" ht="30">
      <c r="A94" s="209">
        <v>87</v>
      </c>
      <c r="B94" s="206" t="s">
        <v>586</v>
      </c>
      <c r="C94" s="207">
        <v>1116228</v>
      </c>
      <c r="D94" s="207">
        <v>0</v>
      </c>
      <c r="E94" s="205">
        <v>0</v>
      </c>
      <c r="F94" s="207">
        <v>0</v>
      </c>
      <c r="G94" s="207">
        <v>734</v>
      </c>
      <c r="H94" s="207">
        <v>1116228</v>
      </c>
      <c r="I94" s="205">
        <v>0</v>
      </c>
      <c r="J94" s="207">
        <v>0</v>
      </c>
      <c r="K94" s="211">
        <v>0</v>
      </c>
      <c r="L94" s="207">
        <v>0</v>
      </c>
      <c r="M94" s="208">
        <v>0</v>
      </c>
      <c r="N94" s="207">
        <v>0</v>
      </c>
      <c r="O94" s="202"/>
    </row>
    <row r="95" spans="1:15" ht="30">
      <c r="A95" s="209">
        <v>88</v>
      </c>
      <c r="B95" s="206" t="s">
        <v>587</v>
      </c>
      <c r="C95" s="207">
        <v>1313728</v>
      </c>
      <c r="D95" s="207">
        <v>0</v>
      </c>
      <c r="E95" s="205">
        <v>0</v>
      </c>
      <c r="F95" s="207">
        <v>0</v>
      </c>
      <c r="G95" s="210">
        <v>660.7</v>
      </c>
      <c r="H95" s="207">
        <v>1313728</v>
      </c>
      <c r="I95" s="205">
        <v>0</v>
      </c>
      <c r="J95" s="207">
        <v>0</v>
      </c>
      <c r="K95" s="208">
        <v>0</v>
      </c>
      <c r="L95" s="207">
        <v>0</v>
      </c>
      <c r="M95" s="208">
        <v>0</v>
      </c>
      <c r="N95" s="207">
        <v>0</v>
      </c>
      <c r="O95" s="202"/>
    </row>
    <row r="96" spans="1:15">
      <c r="A96" s="209">
        <v>89</v>
      </c>
      <c r="B96" s="206" t="s">
        <v>166</v>
      </c>
      <c r="C96" s="207">
        <v>359651</v>
      </c>
      <c r="D96" s="207">
        <v>359651</v>
      </c>
      <c r="E96" s="205">
        <v>0</v>
      </c>
      <c r="F96" s="207">
        <v>0</v>
      </c>
      <c r="G96" s="207">
        <v>0</v>
      </c>
      <c r="H96" s="207">
        <v>0</v>
      </c>
      <c r="I96" s="205">
        <v>0</v>
      </c>
      <c r="J96" s="207">
        <v>0</v>
      </c>
      <c r="K96" s="208">
        <v>0</v>
      </c>
      <c r="L96" s="207">
        <v>0</v>
      </c>
      <c r="M96" s="208">
        <v>0</v>
      </c>
      <c r="N96" s="207">
        <v>0</v>
      </c>
      <c r="O96" s="202"/>
    </row>
    <row r="97" spans="1:15">
      <c r="A97" s="209">
        <v>90</v>
      </c>
      <c r="B97" s="206" t="s">
        <v>158</v>
      </c>
      <c r="C97" s="207">
        <v>906779</v>
      </c>
      <c r="D97" s="207">
        <v>906779</v>
      </c>
      <c r="E97" s="205">
        <v>0</v>
      </c>
      <c r="F97" s="207">
        <v>0</v>
      </c>
      <c r="G97" s="207">
        <v>0</v>
      </c>
      <c r="H97" s="207">
        <v>0</v>
      </c>
      <c r="I97" s="205">
        <v>0</v>
      </c>
      <c r="J97" s="207">
        <v>0</v>
      </c>
      <c r="K97" s="208">
        <v>0</v>
      </c>
      <c r="L97" s="207">
        <v>0</v>
      </c>
      <c r="M97" s="208">
        <v>0</v>
      </c>
      <c r="N97" s="207">
        <v>0</v>
      </c>
      <c r="O97" s="202"/>
    </row>
    <row r="98" spans="1:15">
      <c r="A98" s="209">
        <v>91</v>
      </c>
      <c r="B98" s="206" t="s">
        <v>202</v>
      </c>
      <c r="C98" s="207">
        <v>886559</v>
      </c>
      <c r="D98" s="207">
        <v>0</v>
      </c>
      <c r="E98" s="205">
        <v>0</v>
      </c>
      <c r="F98" s="207">
        <v>0</v>
      </c>
      <c r="G98" s="207">
        <v>440</v>
      </c>
      <c r="H98" s="210">
        <v>886559</v>
      </c>
      <c r="I98" s="205">
        <v>0</v>
      </c>
      <c r="J98" s="207">
        <v>0</v>
      </c>
      <c r="K98" s="208">
        <v>0</v>
      </c>
      <c r="L98" s="207">
        <v>0</v>
      </c>
      <c r="M98" s="208">
        <v>0</v>
      </c>
      <c r="N98" s="207">
        <v>0</v>
      </c>
      <c r="O98" s="202"/>
    </row>
    <row r="99" spans="1:15">
      <c r="A99" s="209">
        <v>92</v>
      </c>
      <c r="B99" s="206" t="s">
        <v>271</v>
      </c>
      <c r="C99" s="207">
        <v>642210</v>
      </c>
      <c r="D99" s="207">
        <v>0</v>
      </c>
      <c r="E99" s="205">
        <v>0</v>
      </c>
      <c r="F99" s="207">
        <v>0</v>
      </c>
      <c r="G99" s="207">
        <v>0</v>
      </c>
      <c r="H99" s="207">
        <v>0</v>
      </c>
      <c r="I99" s="205">
        <v>0</v>
      </c>
      <c r="J99" s="207">
        <v>0</v>
      </c>
      <c r="K99" s="207">
        <v>440</v>
      </c>
      <c r="L99" s="207">
        <v>642210</v>
      </c>
      <c r="M99" s="208">
        <v>0</v>
      </c>
      <c r="N99" s="207">
        <v>0</v>
      </c>
      <c r="O99" s="202"/>
    </row>
    <row r="100" spans="1:15">
      <c r="A100" s="209">
        <v>93</v>
      </c>
      <c r="B100" s="206" t="s">
        <v>191</v>
      </c>
      <c r="C100" s="207">
        <v>1952489</v>
      </c>
      <c r="D100" s="207">
        <v>0</v>
      </c>
      <c r="E100" s="205">
        <v>0</v>
      </c>
      <c r="F100" s="207">
        <v>0</v>
      </c>
      <c r="G100" s="207">
        <v>965</v>
      </c>
      <c r="H100" s="207">
        <v>1952489</v>
      </c>
      <c r="I100" s="205">
        <v>0</v>
      </c>
      <c r="J100" s="207">
        <v>0</v>
      </c>
      <c r="K100" s="211">
        <v>0</v>
      </c>
      <c r="L100" s="207">
        <v>0</v>
      </c>
      <c r="M100" s="208">
        <v>0</v>
      </c>
      <c r="N100" s="207">
        <v>0</v>
      </c>
      <c r="O100" s="202"/>
    </row>
    <row r="101" spans="1:15">
      <c r="A101" s="209">
        <v>94</v>
      </c>
      <c r="B101" s="206" t="s">
        <v>234</v>
      </c>
      <c r="C101" s="207">
        <v>15157748</v>
      </c>
      <c r="D101" s="207">
        <v>0</v>
      </c>
      <c r="E101" s="205">
        <v>8</v>
      </c>
      <c r="F101" s="207">
        <v>15157748</v>
      </c>
      <c r="G101" s="207">
        <v>0</v>
      </c>
      <c r="H101" s="207">
        <v>0</v>
      </c>
      <c r="I101" s="205">
        <v>0</v>
      </c>
      <c r="J101" s="207">
        <v>0</v>
      </c>
      <c r="K101" s="208">
        <v>0</v>
      </c>
      <c r="L101" s="207">
        <v>0</v>
      </c>
      <c r="M101" s="208">
        <v>0</v>
      </c>
      <c r="N101" s="207">
        <v>0</v>
      </c>
      <c r="O101" s="202"/>
    </row>
    <row r="102" spans="1:15">
      <c r="A102" s="209">
        <v>95</v>
      </c>
      <c r="B102" s="206" t="s">
        <v>205</v>
      </c>
      <c r="C102" s="207">
        <v>2542298.37</v>
      </c>
      <c r="D102" s="207">
        <v>0</v>
      </c>
      <c r="E102" s="205">
        <v>0</v>
      </c>
      <c r="F102" s="207">
        <v>0</v>
      </c>
      <c r="G102" s="207">
        <v>1350</v>
      </c>
      <c r="H102" s="207">
        <v>2542298.37</v>
      </c>
      <c r="I102" s="205">
        <v>0</v>
      </c>
      <c r="J102" s="207">
        <v>0</v>
      </c>
      <c r="K102" s="208">
        <v>0</v>
      </c>
      <c r="L102" s="207">
        <v>0</v>
      </c>
      <c r="M102" s="208">
        <v>0</v>
      </c>
      <c r="N102" s="207">
        <v>0</v>
      </c>
      <c r="O102" s="202"/>
    </row>
    <row r="103" spans="1:15">
      <c r="A103" s="209">
        <v>96</v>
      </c>
      <c r="B103" s="206" t="s">
        <v>173</v>
      </c>
      <c r="C103" s="207">
        <v>1114586</v>
      </c>
      <c r="D103" s="207">
        <v>0</v>
      </c>
      <c r="E103" s="205">
        <v>0</v>
      </c>
      <c r="F103" s="207">
        <v>0</v>
      </c>
      <c r="G103" s="207">
        <v>550</v>
      </c>
      <c r="H103" s="207">
        <v>1114586</v>
      </c>
      <c r="I103" s="205">
        <v>0</v>
      </c>
      <c r="J103" s="207">
        <v>0</v>
      </c>
      <c r="K103" s="211">
        <v>0</v>
      </c>
      <c r="L103" s="207">
        <v>0</v>
      </c>
      <c r="M103" s="208">
        <v>0</v>
      </c>
      <c r="N103" s="207">
        <v>0</v>
      </c>
      <c r="O103" s="202"/>
    </row>
    <row r="104" spans="1:15">
      <c r="A104" s="209">
        <v>97</v>
      </c>
      <c r="B104" s="206" t="s">
        <v>225</v>
      </c>
      <c r="C104" s="207">
        <v>5623853</v>
      </c>
      <c r="D104" s="207">
        <v>0</v>
      </c>
      <c r="E104" s="205">
        <v>3</v>
      </c>
      <c r="F104" s="213">
        <v>5623853</v>
      </c>
      <c r="G104" s="207">
        <v>0</v>
      </c>
      <c r="H104" s="207">
        <v>0</v>
      </c>
      <c r="I104" s="205">
        <v>0</v>
      </c>
      <c r="J104" s="207">
        <v>0</v>
      </c>
      <c r="K104" s="211">
        <v>0</v>
      </c>
      <c r="L104" s="207">
        <v>0</v>
      </c>
      <c r="M104" s="208">
        <v>0</v>
      </c>
      <c r="N104" s="207">
        <v>0</v>
      </c>
      <c r="O104" s="202"/>
    </row>
    <row r="105" spans="1:15">
      <c r="A105" s="209">
        <v>98</v>
      </c>
      <c r="B105" s="206" t="s">
        <v>169</v>
      </c>
      <c r="C105" s="207">
        <v>2721106</v>
      </c>
      <c r="D105" s="207">
        <v>0</v>
      </c>
      <c r="E105" s="205">
        <v>0</v>
      </c>
      <c r="F105" s="207">
        <v>0</v>
      </c>
      <c r="G105" s="207">
        <v>1371</v>
      </c>
      <c r="H105" s="207">
        <v>2721106</v>
      </c>
      <c r="I105" s="205">
        <v>0</v>
      </c>
      <c r="J105" s="207">
        <v>0</v>
      </c>
      <c r="K105" s="208">
        <v>0</v>
      </c>
      <c r="L105" s="207">
        <v>0</v>
      </c>
      <c r="M105" s="208">
        <v>0</v>
      </c>
      <c r="N105" s="207">
        <v>0</v>
      </c>
      <c r="O105" s="202"/>
    </row>
    <row r="106" spans="1:15">
      <c r="A106" s="209">
        <v>99</v>
      </c>
      <c r="B106" s="206" t="s">
        <v>212</v>
      </c>
      <c r="C106" s="207">
        <v>9789326.5500000007</v>
      </c>
      <c r="D106" s="207">
        <v>6592990.5599999996</v>
      </c>
      <c r="E106" s="205">
        <v>0</v>
      </c>
      <c r="F106" s="207">
        <v>0</v>
      </c>
      <c r="G106" s="207">
        <v>2090</v>
      </c>
      <c r="H106" s="207">
        <v>3196335.99</v>
      </c>
      <c r="I106" s="205">
        <v>0</v>
      </c>
      <c r="J106" s="207">
        <v>0</v>
      </c>
      <c r="K106" s="208">
        <v>0</v>
      </c>
      <c r="L106" s="207">
        <v>0</v>
      </c>
      <c r="M106" s="208">
        <v>0</v>
      </c>
      <c r="N106" s="207">
        <v>0</v>
      </c>
      <c r="O106" s="202"/>
    </row>
    <row r="107" spans="1:15">
      <c r="A107" s="209">
        <v>100</v>
      </c>
      <c r="B107" s="206" t="s">
        <v>174</v>
      </c>
      <c r="C107" s="207">
        <v>1615074</v>
      </c>
      <c r="D107" s="207">
        <v>1615074</v>
      </c>
      <c r="E107" s="205">
        <v>0</v>
      </c>
      <c r="F107" s="207">
        <v>0</v>
      </c>
      <c r="G107" s="207">
        <v>0</v>
      </c>
      <c r="H107" s="207">
        <v>0</v>
      </c>
      <c r="I107" s="205">
        <v>0</v>
      </c>
      <c r="J107" s="207">
        <v>0</v>
      </c>
      <c r="K107" s="211">
        <v>0</v>
      </c>
      <c r="L107" s="207">
        <v>0</v>
      </c>
      <c r="M107" s="208">
        <v>0</v>
      </c>
      <c r="N107" s="207">
        <v>0</v>
      </c>
      <c r="O107" s="202"/>
    </row>
    <row r="108" spans="1:15">
      <c r="A108" s="209">
        <v>101</v>
      </c>
      <c r="B108" s="206" t="s">
        <v>190</v>
      </c>
      <c r="C108" s="207">
        <v>824390</v>
      </c>
      <c r="D108" s="207">
        <v>824390</v>
      </c>
      <c r="E108" s="205">
        <v>0</v>
      </c>
      <c r="F108" s="207">
        <v>0</v>
      </c>
      <c r="G108" s="207">
        <v>0</v>
      </c>
      <c r="H108" s="207">
        <v>0</v>
      </c>
      <c r="I108" s="205">
        <v>0</v>
      </c>
      <c r="J108" s="207">
        <v>0</v>
      </c>
      <c r="K108" s="208">
        <v>0</v>
      </c>
      <c r="L108" s="207">
        <v>0</v>
      </c>
      <c r="M108" s="208">
        <v>0</v>
      </c>
      <c r="N108" s="207">
        <v>0</v>
      </c>
      <c r="O108" s="202"/>
    </row>
    <row r="109" spans="1:15">
      <c r="A109" s="209">
        <v>102</v>
      </c>
      <c r="B109" s="206" t="s">
        <v>216</v>
      </c>
      <c r="C109" s="207">
        <v>2661189</v>
      </c>
      <c r="D109" s="207">
        <v>0</v>
      </c>
      <c r="E109" s="205">
        <v>0</v>
      </c>
      <c r="F109" s="207">
        <v>0</v>
      </c>
      <c r="G109" s="207">
        <v>1338.7</v>
      </c>
      <c r="H109" s="207">
        <v>2661189</v>
      </c>
      <c r="I109" s="205">
        <v>0</v>
      </c>
      <c r="J109" s="207">
        <v>0</v>
      </c>
      <c r="K109" s="211">
        <v>0</v>
      </c>
      <c r="L109" s="207">
        <v>0</v>
      </c>
      <c r="M109" s="208">
        <v>0</v>
      </c>
      <c r="N109" s="207">
        <v>0</v>
      </c>
      <c r="O109" s="202"/>
    </row>
    <row r="110" spans="1:15">
      <c r="A110" s="209">
        <v>103</v>
      </c>
      <c r="B110" s="206" t="s">
        <v>663</v>
      </c>
      <c r="C110" s="207">
        <v>278220</v>
      </c>
      <c r="D110" s="207">
        <v>278220</v>
      </c>
      <c r="E110" s="205">
        <v>0</v>
      </c>
      <c r="F110" s="207">
        <v>0</v>
      </c>
      <c r="G110" s="207">
        <v>0</v>
      </c>
      <c r="H110" s="207">
        <v>0</v>
      </c>
      <c r="I110" s="205">
        <v>0</v>
      </c>
      <c r="J110" s="207">
        <v>0</v>
      </c>
      <c r="K110" s="208">
        <v>0</v>
      </c>
      <c r="L110" s="207">
        <v>0</v>
      </c>
      <c r="M110" s="208">
        <v>0</v>
      </c>
      <c r="N110" s="207">
        <v>0</v>
      </c>
      <c r="O110" s="202"/>
    </row>
    <row r="111" spans="1:15">
      <c r="A111" s="209">
        <v>104</v>
      </c>
      <c r="B111" s="206" t="s">
        <v>664</v>
      </c>
      <c r="C111" s="207">
        <v>2511472</v>
      </c>
      <c r="D111" s="207">
        <v>2511472</v>
      </c>
      <c r="E111" s="205">
        <v>0</v>
      </c>
      <c r="F111" s="207">
        <v>0</v>
      </c>
      <c r="G111" s="207">
        <v>0</v>
      </c>
      <c r="H111" s="207">
        <v>0</v>
      </c>
      <c r="I111" s="205">
        <v>0</v>
      </c>
      <c r="J111" s="207">
        <v>0</v>
      </c>
      <c r="K111" s="208">
        <v>0</v>
      </c>
      <c r="L111" s="207">
        <v>0</v>
      </c>
      <c r="M111" s="208">
        <v>0</v>
      </c>
      <c r="N111" s="207">
        <v>0</v>
      </c>
      <c r="O111" s="202"/>
    </row>
    <row r="112" spans="1:15" ht="30">
      <c r="A112" s="209">
        <v>105</v>
      </c>
      <c r="B112" s="206" t="s">
        <v>233</v>
      </c>
      <c r="C112" s="207">
        <v>871988</v>
      </c>
      <c r="D112" s="207">
        <v>0</v>
      </c>
      <c r="E112" s="205">
        <v>0</v>
      </c>
      <c r="F112" s="207">
        <v>0</v>
      </c>
      <c r="G112" s="207">
        <v>438.23</v>
      </c>
      <c r="H112" s="207">
        <v>871988</v>
      </c>
      <c r="I112" s="205">
        <v>0</v>
      </c>
      <c r="J112" s="207">
        <v>0</v>
      </c>
      <c r="K112" s="208">
        <v>0</v>
      </c>
      <c r="L112" s="207">
        <v>0</v>
      </c>
      <c r="M112" s="208">
        <v>0</v>
      </c>
      <c r="N112" s="207">
        <v>0</v>
      </c>
      <c r="O112" s="202"/>
    </row>
    <row r="113" spans="1:15" ht="30">
      <c r="A113" s="209">
        <v>106</v>
      </c>
      <c r="B113" s="206" t="s">
        <v>232</v>
      </c>
      <c r="C113" s="207">
        <v>2113335</v>
      </c>
      <c r="D113" s="207">
        <v>2113335</v>
      </c>
      <c r="E113" s="205">
        <v>0</v>
      </c>
      <c r="F113" s="207">
        <v>0</v>
      </c>
      <c r="G113" s="207">
        <v>0</v>
      </c>
      <c r="H113" s="207">
        <v>0</v>
      </c>
      <c r="I113" s="205">
        <v>0</v>
      </c>
      <c r="J113" s="207">
        <v>0</v>
      </c>
      <c r="K113" s="208">
        <v>0</v>
      </c>
      <c r="L113" s="207">
        <v>0</v>
      </c>
      <c r="M113" s="208">
        <v>0</v>
      </c>
      <c r="N113" s="207">
        <v>0</v>
      </c>
      <c r="O113" s="202"/>
    </row>
    <row r="114" spans="1:15">
      <c r="A114" s="209">
        <v>107</v>
      </c>
      <c r="B114" s="206" t="s">
        <v>220</v>
      </c>
      <c r="C114" s="207">
        <v>996585</v>
      </c>
      <c r="D114" s="207">
        <v>0</v>
      </c>
      <c r="E114" s="205">
        <v>0</v>
      </c>
      <c r="F114" s="207">
        <v>0</v>
      </c>
      <c r="G114" s="207">
        <v>496.2</v>
      </c>
      <c r="H114" s="207">
        <v>996585</v>
      </c>
      <c r="I114" s="205">
        <v>0</v>
      </c>
      <c r="J114" s="207">
        <v>0</v>
      </c>
      <c r="K114" s="208">
        <v>0</v>
      </c>
      <c r="L114" s="207">
        <v>0</v>
      </c>
      <c r="M114" s="208">
        <v>0</v>
      </c>
      <c r="N114" s="207">
        <v>0</v>
      </c>
      <c r="O114" s="202"/>
    </row>
    <row r="115" spans="1:15">
      <c r="A115" s="209">
        <v>108</v>
      </c>
      <c r="B115" s="206" t="s">
        <v>165</v>
      </c>
      <c r="C115" s="207">
        <v>637739</v>
      </c>
      <c r="D115" s="207">
        <v>637739</v>
      </c>
      <c r="E115" s="205">
        <v>0</v>
      </c>
      <c r="F115" s="207">
        <v>0</v>
      </c>
      <c r="G115" s="207">
        <v>0</v>
      </c>
      <c r="H115" s="207">
        <v>0</v>
      </c>
      <c r="I115" s="205">
        <v>0</v>
      </c>
      <c r="J115" s="207">
        <v>0</v>
      </c>
      <c r="K115" s="208">
        <v>0</v>
      </c>
      <c r="L115" s="207">
        <v>0</v>
      </c>
      <c r="M115" s="208">
        <v>0</v>
      </c>
      <c r="N115" s="207">
        <v>0</v>
      </c>
      <c r="O115" s="202"/>
    </row>
    <row r="116" spans="1:15">
      <c r="A116" s="209">
        <v>109</v>
      </c>
      <c r="B116" s="206" t="s">
        <v>168</v>
      </c>
      <c r="C116" s="207">
        <v>1357217</v>
      </c>
      <c r="D116" s="207">
        <v>0</v>
      </c>
      <c r="E116" s="205">
        <v>0</v>
      </c>
      <c r="F116" s="207">
        <v>0</v>
      </c>
      <c r="G116" s="207">
        <v>675</v>
      </c>
      <c r="H116" s="207">
        <v>1357217</v>
      </c>
      <c r="I116" s="205">
        <v>0</v>
      </c>
      <c r="J116" s="207">
        <v>0</v>
      </c>
      <c r="K116" s="208">
        <v>0</v>
      </c>
      <c r="L116" s="207">
        <v>0</v>
      </c>
      <c r="M116" s="208">
        <v>0</v>
      </c>
      <c r="N116" s="207">
        <v>0</v>
      </c>
      <c r="O116" s="202"/>
    </row>
    <row r="117" spans="1:15">
      <c r="A117" s="209">
        <v>110</v>
      </c>
      <c r="B117" s="206" t="s">
        <v>194</v>
      </c>
      <c r="C117" s="207">
        <v>836226</v>
      </c>
      <c r="D117" s="207">
        <v>0</v>
      </c>
      <c r="E117" s="205">
        <v>0</v>
      </c>
      <c r="F117" s="207">
        <v>0</v>
      </c>
      <c r="G117" s="207">
        <v>414.1</v>
      </c>
      <c r="H117" s="210">
        <v>836226</v>
      </c>
      <c r="I117" s="205">
        <v>0</v>
      </c>
      <c r="J117" s="207">
        <v>0</v>
      </c>
      <c r="K117" s="208">
        <v>0</v>
      </c>
      <c r="L117" s="207">
        <v>0</v>
      </c>
      <c r="M117" s="208">
        <v>0</v>
      </c>
      <c r="N117" s="207">
        <v>0</v>
      </c>
      <c r="O117" s="202"/>
    </row>
    <row r="118" spans="1:15">
      <c r="A118" s="209">
        <v>111</v>
      </c>
      <c r="B118" s="206" t="s">
        <v>223</v>
      </c>
      <c r="C118" s="207">
        <v>640078</v>
      </c>
      <c r="D118" s="207">
        <v>640078</v>
      </c>
      <c r="E118" s="205">
        <v>0</v>
      </c>
      <c r="F118" s="207">
        <v>0</v>
      </c>
      <c r="G118" s="207">
        <v>0</v>
      </c>
      <c r="H118" s="207">
        <v>0</v>
      </c>
      <c r="I118" s="205">
        <v>0</v>
      </c>
      <c r="J118" s="207">
        <v>0</v>
      </c>
      <c r="K118" s="208">
        <v>0</v>
      </c>
      <c r="L118" s="207">
        <v>0</v>
      </c>
      <c r="M118" s="208">
        <v>0</v>
      </c>
      <c r="N118" s="207">
        <v>0</v>
      </c>
      <c r="O118" s="202"/>
    </row>
    <row r="119" spans="1:15">
      <c r="A119" s="209">
        <v>112</v>
      </c>
      <c r="B119" s="206" t="s">
        <v>161</v>
      </c>
      <c r="C119" s="207">
        <v>202649</v>
      </c>
      <c r="D119" s="207">
        <v>202649</v>
      </c>
      <c r="E119" s="205">
        <v>0</v>
      </c>
      <c r="F119" s="207">
        <v>0</v>
      </c>
      <c r="G119" s="207">
        <v>0</v>
      </c>
      <c r="H119" s="207">
        <v>0</v>
      </c>
      <c r="I119" s="205">
        <v>0</v>
      </c>
      <c r="J119" s="207">
        <v>0</v>
      </c>
      <c r="K119" s="211">
        <v>0</v>
      </c>
      <c r="L119" s="207">
        <v>0</v>
      </c>
      <c r="M119" s="208">
        <v>0</v>
      </c>
      <c r="N119" s="207">
        <v>0</v>
      </c>
      <c r="O119" s="202"/>
    </row>
    <row r="120" spans="1:15">
      <c r="A120" s="209">
        <v>113</v>
      </c>
      <c r="B120" s="206" t="s">
        <v>209</v>
      </c>
      <c r="C120" s="207">
        <v>7892437</v>
      </c>
      <c r="D120" s="207">
        <v>7892437</v>
      </c>
      <c r="E120" s="205">
        <v>0</v>
      </c>
      <c r="F120" s="207">
        <v>0</v>
      </c>
      <c r="G120" s="207">
        <v>0</v>
      </c>
      <c r="H120" s="207">
        <v>0</v>
      </c>
      <c r="I120" s="205">
        <v>0</v>
      </c>
      <c r="J120" s="207">
        <v>0</v>
      </c>
      <c r="K120" s="208">
        <v>0</v>
      </c>
      <c r="L120" s="207">
        <v>0</v>
      </c>
      <c r="M120" s="208">
        <v>0</v>
      </c>
      <c r="N120" s="207">
        <v>0</v>
      </c>
      <c r="O120" s="202"/>
    </row>
    <row r="121" spans="1:15">
      <c r="A121" s="209">
        <v>114</v>
      </c>
      <c r="B121" s="206" t="s">
        <v>162</v>
      </c>
      <c r="C121" s="207">
        <v>523389</v>
      </c>
      <c r="D121" s="207">
        <v>0</v>
      </c>
      <c r="E121" s="205">
        <v>0</v>
      </c>
      <c r="F121" s="207">
        <v>0</v>
      </c>
      <c r="G121" s="207">
        <v>255</v>
      </c>
      <c r="H121" s="207">
        <v>523389</v>
      </c>
      <c r="I121" s="205">
        <v>0</v>
      </c>
      <c r="J121" s="207">
        <v>0</v>
      </c>
      <c r="K121" s="211">
        <v>0</v>
      </c>
      <c r="L121" s="207">
        <v>0</v>
      </c>
      <c r="M121" s="208">
        <v>0</v>
      </c>
      <c r="N121" s="207">
        <v>0</v>
      </c>
      <c r="O121" s="202"/>
    </row>
    <row r="122" spans="1:15">
      <c r="A122" s="209">
        <v>115</v>
      </c>
      <c r="B122" s="206" t="s">
        <v>189</v>
      </c>
      <c r="C122" s="207">
        <v>1038920</v>
      </c>
      <c r="D122" s="207">
        <v>1038920</v>
      </c>
      <c r="E122" s="205">
        <v>0</v>
      </c>
      <c r="F122" s="207">
        <v>0</v>
      </c>
      <c r="G122" s="207">
        <v>0</v>
      </c>
      <c r="H122" s="207">
        <v>0</v>
      </c>
      <c r="I122" s="205">
        <v>0</v>
      </c>
      <c r="J122" s="207">
        <v>0</v>
      </c>
      <c r="K122" s="208">
        <v>0</v>
      </c>
      <c r="L122" s="207">
        <v>0</v>
      </c>
      <c r="M122" s="208">
        <v>0</v>
      </c>
      <c r="N122" s="207">
        <v>0</v>
      </c>
      <c r="O122" s="202"/>
    </row>
    <row r="123" spans="1:15">
      <c r="A123" s="205">
        <v>116</v>
      </c>
      <c r="B123" s="206" t="s">
        <v>183</v>
      </c>
      <c r="C123" s="207">
        <v>1742553</v>
      </c>
      <c r="D123" s="207">
        <v>0</v>
      </c>
      <c r="E123" s="205">
        <v>0</v>
      </c>
      <c r="F123" s="207">
        <v>0</v>
      </c>
      <c r="G123" s="207">
        <v>874.22</v>
      </c>
      <c r="H123" s="210">
        <v>1742553</v>
      </c>
      <c r="I123" s="205">
        <v>0</v>
      </c>
      <c r="J123" s="207">
        <v>0</v>
      </c>
      <c r="K123" s="208">
        <v>0</v>
      </c>
      <c r="L123" s="207">
        <v>0</v>
      </c>
      <c r="M123" s="208">
        <v>0</v>
      </c>
      <c r="N123" s="207">
        <v>0</v>
      </c>
      <c r="O123" s="202"/>
    </row>
    <row r="124" spans="1:15">
      <c r="A124" s="205">
        <v>117</v>
      </c>
      <c r="B124" s="206" t="s">
        <v>175</v>
      </c>
      <c r="C124" s="207">
        <v>2124581</v>
      </c>
      <c r="D124" s="207">
        <v>0</v>
      </c>
      <c r="E124" s="205">
        <v>0</v>
      </c>
      <c r="F124" s="207">
        <v>0</v>
      </c>
      <c r="G124" s="207">
        <v>1070</v>
      </c>
      <c r="H124" s="210">
        <v>2124581</v>
      </c>
      <c r="I124" s="205">
        <v>0</v>
      </c>
      <c r="J124" s="207">
        <v>0</v>
      </c>
      <c r="K124" s="211">
        <v>0</v>
      </c>
      <c r="L124" s="207">
        <v>0</v>
      </c>
      <c r="M124" s="208">
        <v>0</v>
      </c>
      <c r="N124" s="207">
        <v>0</v>
      </c>
      <c r="O124" s="202"/>
    </row>
    <row r="125" spans="1:15">
      <c r="A125" s="205">
        <v>118</v>
      </c>
      <c r="B125" s="206" t="s">
        <v>206</v>
      </c>
      <c r="C125" s="207">
        <v>2347478</v>
      </c>
      <c r="D125" s="207">
        <v>0</v>
      </c>
      <c r="E125" s="205">
        <v>0</v>
      </c>
      <c r="F125" s="207">
        <v>0</v>
      </c>
      <c r="G125" s="207">
        <v>1185.07</v>
      </c>
      <c r="H125" s="207">
        <v>2347478</v>
      </c>
      <c r="I125" s="205">
        <v>0</v>
      </c>
      <c r="J125" s="207">
        <v>0</v>
      </c>
      <c r="K125" s="208">
        <v>0</v>
      </c>
      <c r="L125" s="207">
        <v>0</v>
      </c>
      <c r="M125" s="208">
        <v>0</v>
      </c>
      <c r="N125" s="207">
        <v>0</v>
      </c>
      <c r="O125" s="202"/>
    </row>
    <row r="126" spans="1:15">
      <c r="A126" s="205">
        <v>119</v>
      </c>
      <c r="B126" s="206" t="s">
        <v>192</v>
      </c>
      <c r="C126" s="207">
        <v>2468472</v>
      </c>
      <c r="D126" s="207">
        <v>0</v>
      </c>
      <c r="E126" s="205">
        <v>0</v>
      </c>
      <c r="F126" s="207">
        <v>0</v>
      </c>
      <c r="G126" s="210">
        <v>1246.5</v>
      </c>
      <c r="H126" s="207">
        <v>2468472</v>
      </c>
      <c r="I126" s="205">
        <v>0</v>
      </c>
      <c r="J126" s="207">
        <v>0</v>
      </c>
      <c r="K126" s="208">
        <v>0</v>
      </c>
      <c r="L126" s="207">
        <v>0</v>
      </c>
      <c r="M126" s="208">
        <v>0</v>
      </c>
      <c r="N126" s="207">
        <v>0</v>
      </c>
      <c r="O126" s="202"/>
    </row>
    <row r="127" spans="1:15">
      <c r="A127" s="205">
        <v>120</v>
      </c>
      <c r="B127" s="206" t="s">
        <v>208</v>
      </c>
      <c r="C127" s="207">
        <v>1612780</v>
      </c>
      <c r="D127" s="207">
        <v>0</v>
      </c>
      <c r="E127" s="205">
        <v>0</v>
      </c>
      <c r="F127" s="207">
        <v>0</v>
      </c>
      <c r="G127" s="207">
        <v>810.5</v>
      </c>
      <c r="H127" s="207">
        <v>1612780</v>
      </c>
      <c r="I127" s="205">
        <v>0</v>
      </c>
      <c r="J127" s="207">
        <v>0</v>
      </c>
      <c r="K127" s="208">
        <v>0</v>
      </c>
      <c r="L127" s="207">
        <v>0</v>
      </c>
      <c r="M127" s="208">
        <v>0</v>
      </c>
      <c r="N127" s="207">
        <v>0</v>
      </c>
      <c r="O127" s="202"/>
    </row>
    <row r="128" spans="1:15">
      <c r="A128" s="205">
        <v>121</v>
      </c>
      <c r="B128" s="206" t="s">
        <v>181</v>
      </c>
      <c r="C128" s="207">
        <v>2580419</v>
      </c>
      <c r="D128" s="207">
        <v>0</v>
      </c>
      <c r="E128" s="205">
        <v>0</v>
      </c>
      <c r="F128" s="207">
        <v>0</v>
      </c>
      <c r="G128" s="207">
        <v>786.3</v>
      </c>
      <c r="H128" s="207">
        <v>1565675</v>
      </c>
      <c r="I128" s="205">
        <v>0</v>
      </c>
      <c r="J128" s="207">
        <v>0</v>
      </c>
      <c r="K128" s="207">
        <v>700</v>
      </c>
      <c r="L128" s="207">
        <v>1014744</v>
      </c>
      <c r="M128" s="208">
        <v>0</v>
      </c>
      <c r="N128" s="207">
        <v>0</v>
      </c>
      <c r="O128" s="202"/>
    </row>
    <row r="129" spans="1:15">
      <c r="A129" s="205">
        <v>122</v>
      </c>
      <c r="B129" s="206" t="s">
        <v>259</v>
      </c>
      <c r="C129" s="207">
        <v>1681645</v>
      </c>
      <c r="D129" s="207">
        <v>0</v>
      </c>
      <c r="E129" s="205">
        <v>0</v>
      </c>
      <c r="F129" s="207">
        <v>0</v>
      </c>
      <c r="G129" s="207">
        <v>848.59</v>
      </c>
      <c r="H129" s="207">
        <v>1681645</v>
      </c>
      <c r="I129" s="205">
        <v>0</v>
      </c>
      <c r="J129" s="207">
        <v>0</v>
      </c>
      <c r="K129" s="211">
        <v>0</v>
      </c>
      <c r="L129" s="207">
        <v>0</v>
      </c>
      <c r="M129" s="208">
        <v>0</v>
      </c>
      <c r="N129" s="207">
        <v>0</v>
      </c>
      <c r="O129" s="202"/>
    </row>
    <row r="130" spans="1:15">
      <c r="A130" s="205">
        <v>123</v>
      </c>
      <c r="B130" s="206" t="s">
        <v>180</v>
      </c>
      <c r="C130" s="207">
        <v>1318880</v>
      </c>
      <c r="D130" s="207">
        <v>0</v>
      </c>
      <c r="E130" s="205">
        <v>0</v>
      </c>
      <c r="F130" s="207">
        <v>0</v>
      </c>
      <c r="G130" s="207">
        <v>660</v>
      </c>
      <c r="H130" s="207">
        <v>1318880</v>
      </c>
      <c r="I130" s="205">
        <v>0</v>
      </c>
      <c r="J130" s="207">
        <v>0</v>
      </c>
      <c r="K130" s="211">
        <v>0</v>
      </c>
      <c r="L130" s="207">
        <v>0</v>
      </c>
      <c r="M130" s="208">
        <v>0</v>
      </c>
      <c r="N130" s="207">
        <v>0</v>
      </c>
      <c r="O130" s="202"/>
    </row>
    <row r="131" spans="1:15">
      <c r="A131" s="205">
        <v>124</v>
      </c>
      <c r="B131" s="206" t="s">
        <v>170</v>
      </c>
      <c r="C131" s="207">
        <v>1566345</v>
      </c>
      <c r="D131" s="207">
        <v>0</v>
      </c>
      <c r="E131" s="205">
        <v>0</v>
      </c>
      <c r="F131" s="207">
        <v>0</v>
      </c>
      <c r="G131" s="207">
        <v>422</v>
      </c>
      <c r="H131" s="207">
        <v>850468</v>
      </c>
      <c r="I131" s="205">
        <v>0</v>
      </c>
      <c r="J131" s="207">
        <v>0</v>
      </c>
      <c r="K131" s="207">
        <v>492</v>
      </c>
      <c r="L131" s="207">
        <v>715877</v>
      </c>
      <c r="M131" s="208">
        <v>0</v>
      </c>
      <c r="N131" s="207">
        <v>0</v>
      </c>
      <c r="O131" s="202"/>
    </row>
    <row r="132" spans="1:15" ht="30">
      <c r="A132" s="205">
        <v>125</v>
      </c>
      <c r="B132" s="206" t="s">
        <v>574</v>
      </c>
      <c r="C132" s="207">
        <v>1910088</v>
      </c>
      <c r="D132" s="207">
        <v>1910088</v>
      </c>
      <c r="E132" s="205">
        <v>0</v>
      </c>
      <c r="F132" s="207">
        <v>0</v>
      </c>
      <c r="G132" s="207">
        <v>0</v>
      </c>
      <c r="H132" s="207">
        <v>0</v>
      </c>
      <c r="I132" s="205">
        <v>0</v>
      </c>
      <c r="J132" s="207">
        <v>0</v>
      </c>
      <c r="K132" s="211">
        <v>0</v>
      </c>
      <c r="L132" s="207">
        <v>0</v>
      </c>
      <c r="M132" s="208">
        <v>0</v>
      </c>
      <c r="N132" s="207">
        <v>0</v>
      </c>
      <c r="O132" s="202"/>
    </row>
    <row r="133" spans="1:15">
      <c r="A133" s="205">
        <v>126</v>
      </c>
      <c r="B133" s="206" t="s">
        <v>204</v>
      </c>
      <c r="C133" s="207">
        <v>2694957</v>
      </c>
      <c r="D133" s="207">
        <v>710638</v>
      </c>
      <c r="E133" s="205">
        <v>0</v>
      </c>
      <c r="F133" s="207">
        <v>0</v>
      </c>
      <c r="G133" s="207">
        <v>0</v>
      </c>
      <c r="H133" s="207">
        <v>0</v>
      </c>
      <c r="I133" s="205">
        <v>0</v>
      </c>
      <c r="J133" s="207">
        <v>0</v>
      </c>
      <c r="K133" s="207">
        <v>1359.5</v>
      </c>
      <c r="L133" s="207">
        <v>1984319</v>
      </c>
      <c r="M133" s="208">
        <v>0</v>
      </c>
      <c r="N133" s="207">
        <v>0</v>
      </c>
      <c r="O133" s="202"/>
    </row>
    <row r="134" spans="1:15">
      <c r="A134" s="205">
        <v>127</v>
      </c>
      <c r="B134" s="206" t="s">
        <v>345</v>
      </c>
      <c r="C134" s="207">
        <v>580578</v>
      </c>
      <c r="D134" s="207">
        <v>0</v>
      </c>
      <c r="E134" s="205">
        <v>0</v>
      </c>
      <c r="F134" s="207">
        <v>0</v>
      </c>
      <c r="G134" s="207">
        <v>293.5</v>
      </c>
      <c r="H134" s="207">
        <v>580578</v>
      </c>
      <c r="I134" s="205">
        <v>0</v>
      </c>
      <c r="J134" s="207">
        <v>0</v>
      </c>
      <c r="K134" s="208">
        <v>0</v>
      </c>
      <c r="L134" s="207">
        <v>0</v>
      </c>
      <c r="M134" s="208">
        <v>0</v>
      </c>
      <c r="N134" s="207">
        <v>0</v>
      </c>
      <c r="O134" s="202"/>
    </row>
    <row r="135" spans="1:15">
      <c r="A135" s="205">
        <v>128</v>
      </c>
      <c r="B135" s="206" t="s">
        <v>600</v>
      </c>
      <c r="C135" s="207">
        <v>615357</v>
      </c>
      <c r="D135" s="207">
        <v>0</v>
      </c>
      <c r="E135" s="205">
        <v>0</v>
      </c>
      <c r="F135" s="207">
        <v>0</v>
      </c>
      <c r="G135" s="207">
        <v>301</v>
      </c>
      <c r="H135" s="207">
        <v>615357</v>
      </c>
      <c r="I135" s="205">
        <v>0</v>
      </c>
      <c r="J135" s="207">
        <v>0</v>
      </c>
      <c r="K135" s="208">
        <v>0</v>
      </c>
      <c r="L135" s="207">
        <v>0</v>
      </c>
      <c r="M135" s="208">
        <v>0</v>
      </c>
      <c r="N135" s="207">
        <v>0</v>
      </c>
      <c r="O135" s="202"/>
    </row>
    <row r="136" spans="1:15">
      <c r="A136" s="205">
        <v>129</v>
      </c>
      <c r="B136" s="206" t="s">
        <v>363</v>
      </c>
      <c r="C136" s="207">
        <v>269948.13</v>
      </c>
      <c r="D136" s="207">
        <v>269948.13</v>
      </c>
      <c r="E136" s="205">
        <v>0</v>
      </c>
      <c r="F136" s="207">
        <v>0</v>
      </c>
      <c r="G136" s="207">
        <v>0</v>
      </c>
      <c r="H136" s="207">
        <v>0</v>
      </c>
      <c r="I136" s="205">
        <v>0</v>
      </c>
      <c r="J136" s="207">
        <v>0</v>
      </c>
      <c r="K136" s="208">
        <v>0</v>
      </c>
      <c r="L136" s="207">
        <v>0</v>
      </c>
      <c r="M136" s="208">
        <v>0</v>
      </c>
      <c r="N136" s="207">
        <v>0</v>
      </c>
      <c r="O136" s="202"/>
    </row>
    <row r="137" spans="1:15">
      <c r="A137" s="205">
        <v>130</v>
      </c>
      <c r="B137" s="206" t="s">
        <v>163</v>
      </c>
      <c r="C137" s="207">
        <v>807980</v>
      </c>
      <c r="D137" s="207">
        <v>0</v>
      </c>
      <c r="E137" s="205">
        <v>0</v>
      </c>
      <c r="F137" s="207">
        <v>0</v>
      </c>
      <c r="G137" s="207">
        <v>400</v>
      </c>
      <c r="H137" s="207">
        <v>807980</v>
      </c>
      <c r="I137" s="205">
        <v>0</v>
      </c>
      <c r="J137" s="207">
        <v>0</v>
      </c>
      <c r="K137" s="211">
        <v>0</v>
      </c>
      <c r="L137" s="207">
        <v>0</v>
      </c>
      <c r="M137" s="208">
        <v>0</v>
      </c>
      <c r="N137" s="207">
        <v>0</v>
      </c>
      <c r="O137" s="202"/>
    </row>
    <row r="138" spans="1:15">
      <c r="A138" s="205">
        <v>131</v>
      </c>
      <c r="B138" s="206" t="s">
        <v>198</v>
      </c>
      <c r="C138" s="207">
        <v>661525</v>
      </c>
      <c r="D138" s="207">
        <v>0</v>
      </c>
      <c r="E138" s="205">
        <v>0</v>
      </c>
      <c r="F138" s="207">
        <v>0</v>
      </c>
      <c r="G138" s="207">
        <v>325</v>
      </c>
      <c r="H138" s="210">
        <v>661525</v>
      </c>
      <c r="I138" s="205">
        <v>0</v>
      </c>
      <c r="J138" s="207">
        <v>0</v>
      </c>
      <c r="K138" s="208">
        <v>0</v>
      </c>
      <c r="L138" s="207">
        <v>0</v>
      </c>
      <c r="M138" s="208">
        <v>0</v>
      </c>
      <c r="N138" s="207">
        <v>0</v>
      </c>
      <c r="O138" s="202"/>
    </row>
    <row r="139" spans="1:15">
      <c r="A139" s="209">
        <v>132</v>
      </c>
      <c r="B139" s="206" t="s">
        <v>221</v>
      </c>
      <c r="C139" s="207">
        <v>3719885</v>
      </c>
      <c r="D139" s="207">
        <v>0</v>
      </c>
      <c r="E139" s="205">
        <v>2</v>
      </c>
      <c r="F139" s="207">
        <v>3719885</v>
      </c>
      <c r="G139" s="207">
        <v>0</v>
      </c>
      <c r="H139" s="207">
        <v>0</v>
      </c>
      <c r="I139" s="205">
        <v>0</v>
      </c>
      <c r="J139" s="207">
        <v>0</v>
      </c>
      <c r="K139" s="208">
        <v>0</v>
      </c>
      <c r="L139" s="207">
        <v>0</v>
      </c>
      <c r="M139" s="208">
        <v>0</v>
      </c>
      <c r="N139" s="207">
        <v>0</v>
      </c>
      <c r="O139" s="202"/>
    </row>
    <row r="140" spans="1:15">
      <c r="A140" s="209">
        <v>133</v>
      </c>
      <c r="B140" s="206" t="s">
        <v>188</v>
      </c>
      <c r="C140" s="207">
        <v>1726391</v>
      </c>
      <c r="D140" s="207">
        <v>0</v>
      </c>
      <c r="E140" s="205">
        <v>0</v>
      </c>
      <c r="F140" s="207">
        <v>0</v>
      </c>
      <c r="G140" s="207">
        <v>866.8</v>
      </c>
      <c r="H140" s="207">
        <v>1726391</v>
      </c>
      <c r="I140" s="205">
        <v>0</v>
      </c>
      <c r="J140" s="207">
        <v>0</v>
      </c>
      <c r="K140" s="208">
        <v>0</v>
      </c>
      <c r="L140" s="207">
        <v>0</v>
      </c>
      <c r="M140" s="208">
        <v>0</v>
      </c>
      <c r="N140" s="207">
        <v>0</v>
      </c>
      <c r="O140" s="202"/>
    </row>
    <row r="141" spans="1:15">
      <c r="A141" s="209">
        <v>134</v>
      </c>
      <c r="B141" s="206" t="s">
        <v>160</v>
      </c>
      <c r="C141" s="207">
        <v>1521754</v>
      </c>
      <c r="D141" s="207">
        <v>0</v>
      </c>
      <c r="E141" s="205">
        <v>0</v>
      </c>
      <c r="F141" s="207">
        <v>0</v>
      </c>
      <c r="G141" s="207">
        <v>430</v>
      </c>
      <c r="H141" s="207">
        <v>866735</v>
      </c>
      <c r="I141" s="205">
        <v>0</v>
      </c>
      <c r="J141" s="207">
        <v>0</v>
      </c>
      <c r="K141" s="207">
        <v>449</v>
      </c>
      <c r="L141" s="207">
        <v>655019</v>
      </c>
      <c r="M141" s="208">
        <v>0</v>
      </c>
      <c r="N141" s="207">
        <v>0</v>
      </c>
      <c r="O141" s="202"/>
    </row>
    <row r="142" spans="1:15">
      <c r="A142" s="209">
        <v>135</v>
      </c>
      <c r="B142" s="206" t="s">
        <v>153</v>
      </c>
      <c r="C142" s="207">
        <v>671505</v>
      </c>
      <c r="D142" s="207">
        <v>80278</v>
      </c>
      <c r="E142" s="205">
        <v>0</v>
      </c>
      <c r="F142" s="207">
        <v>0</v>
      </c>
      <c r="G142" s="207">
        <v>0</v>
      </c>
      <c r="H142" s="207">
        <v>0</v>
      </c>
      <c r="I142" s="205">
        <v>0</v>
      </c>
      <c r="J142" s="207">
        <v>0</v>
      </c>
      <c r="K142" s="207">
        <v>404.5</v>
      </c>
      <c r="L142" s="207">
        <v>591227</v>
      </c>
      <c r="M142" s="208">
        <v>0</v>
      </c>
      <c r="N142" s="207">
        <v>0</v>
      </c>
      <c r="O142" s="202"/>
    </row>
    <row r="143" spans="1:15">
      <c r="A143" s="209">
        <v>136</v>
      </c>
      <c r="B143" s="206" t="s">
        <v>263</v>
      </c>
      <c r="C143" s="207">
        <v>1081718</v>
      </c>
      <c r="D143" s="207">
        <v>0</v>
      </c>
      <c r="E143" s="205">
        <v>0</v>
      </c>
      <c r="F143" s="207">
        <v>0</v>
      </c>
      <c r="G143" s="207">
        <v>531.70000000000005</v>
      </c>
      <c r="H143" s="207">
        <v>1081718</v>
      </c>
      <c r="I143" s="205">
        <v>0</v>
      </c>
      <c r="J143" s="207">
        <v>0</v>
      </c>
      <c r="K143" s="208">
        <v>0</v>
      </c>
      <c r="L143" s="207">
        <v>0</v>
      </c>
      <c r="M143" s="208">
        <v>0</v>
      </c>
      <c r="N143" s="207">
        <v>0</v>
      </c>
      <c r="O143" s="202"/>
    </row>
    <row r="144" spans="1:15">
      <c r="A144" s="209">
        <v>137</v>
      </c>
      <c r="B144" s="206" t="s">
        <v>156</v>
      </c>
      <c r="C144" s="207">
        <v>206635</v>
      </c>
      <c r="D144" s="207">
        <v>206635</v>
      </c>
      <c r="E144" s="205">
        <v>0</v>
      </c>
      <c r="F144" s="207">
        <v>0</v>
      </c>
      <c r="G144" s="207">
        <v>0</v>
      </c>
      <c r="H144" s="207">
        <v>0</v>
      </c>
      <c r="I144" s="205">
        <v>0</v>
      </c>
      <c r="J144" s="207">
        <v>0</v>
      </c>
      <c r="K144" s="208">
        <v>0</v>
      </c>
      <c r="L144" s="207">
        <v>0</v>
      </c>
      <c r="M144" s="208">
        <v>0</v>
      </c>
      <c r="N144" s="207">
        <v>0</v>
      </c>
      <c r="O144" s="202"/>
    </row>
    <row r="145" spans="1:15">
      <c r="A145" s="209">
        <v>138</v>
      </c>
      <c r="B145" s="206" t="s">
        <v>224</v>
      </c>
      <c r="C145" s="207">
        <v>1044081.04</v>
      </c>
      <c r="D145" s="207">
        <v>0</v>
      </c>
      <c r="E145" s="205">
        <v>0</v>
      </c>
      <c r="F145" s="207">
        <v>0</v>
      </c>
      <c r="G145" s="207">
        <v>516.5</v>
      </c>
      <c r="H145" s="207">
        <v>1044081.04</v>
      </c>
      <c r="I145" s="205">
        <v>0</v>
      </c>
      <c r="J145" s="207">
        <v>0</v>
      </c>
      <c r="K145" s="211">
        <v>0</v>
      </c>
      <c r="L145" s="207">
        <v>0</v>
      </c>
      <c r="M145" s="208">
        <v>0</v>
      </c>
      <c r="N145" s="207">
        <v>0</v>
      </c>
      <c r="O145" s="202"/>
    </row>
    <row r="146" spans="1:15">
      <c r="A146" s="209">
        <v>139</v>
      </c>
      <c r="B146" s="206" t="s">
        <v>207</v>
      </c>
      <c r="C146" s="207">
        <v>1340000</v>
      </c>
      <c r="D146" s="207">
        <v>1340000</v>
      </c>
      <c r="E146" s="205">
        <v>0</v>
      </c>
      <c r="F146" s="207">
        <v>0</v>
      </c>
      <c r="G146" s="207">
        <v>0</v>
      </c>
      <c r="H146" s="207">
        <v>0</v>
      </c>
      <c r="I146" s="205">
        <v>0</v>
      </c>
      <c r="J146" s="207">
        <v>0</v>
      </c>
      <c r="K146" s="208">
        <v>0</v>
      </c>
      <c r="L146" s="207">
        <v>0</v>
      </c>
      <c r="M146" s="208">
        <v>0</v>
      </c>
      <c r="N146" s="207">
        <v>0</v>
      </c>
      <c r="O146" s="202"/>
    </row>
    <row r="147" spans="1:15">
      <c r="A147" s="209">
        <v>140</v>
      </c>
      <c r="B147" s="206" t="s">
        <v>573</v>
      </c>
      <c r="C147" s="207">
        <v>2294529</v>
      </c>
      <c r="D147" s="207">
        <v>0</v>
      </c>
      <c r="E147" s="205">
        <v>0</v>
      </c>
      <c r="F147" s="207">
        <v>0</v>
      </c>
      <c r="G147" s="207">
        <v>1162</v>
      </c>
      <c r="H147" s="207">
        <v>2294529</v>
      </c>
      <c r="I147" s="205">
        <v>0</v>
      </c>
      <c r="J147" s="207">
        <v>0</v>
      </c>
      <c r="K147" s="208">
        <v>0</v>
      </c>
      <c r="L147" s="207">
        <v>0</v>
      </c>
      <c r="M147" s="208">
        <v>0</v>
      </c>
      <c r="N147" s="207">
        <v>0</v>
      </c>
      <c r="O147" s="202"/>
    </row>
    <row r="148" spans="1:15">
      <c r="A148" s="209">
        <v>141</v>
      </c>
      <c r="B148" s="206" t="s">
        <v>155</v>
      </c>
      <c r="C148" s="207">
        <v>2615616.2000000002</v>
      </c>
      <c r="D148" s="207">
        <v>0</v>
      </c>
      <c r="E148" s="205">
        <v>0</v>
      </c>
      <c r="F148" s="207">
        <v>0</v>
      </c>
      <c r="G148" s="207">
        <v>0</v>
      </c>
      <c r="H148" s="207">
        <v>0</v>
      </c>
      <c r="I148" s="205">
        <v>0</v>
      </c>
      <c r="J148" s="207">
        <v>0</v>
      </c>
      <c r="K148" s="207">
        <v>2540</v>
      </c>
      <c r="L148" s="207">
        <v>2615616.2000000002</v>
      </c>
      <c r="M148" s="208">
        <v>0</v>
      </c>
      <c r="N148" s="207">
        <v>0</v>
      </c>
      <c r="O148" s="202"/>
    </row>
    <row r="149" spans="1:15">
      <c r="A149" s="209">
        <v>142</v>
      </c>
      <c r="B149" s="206" t="s">
        <v>219</v>
      </c>
      <c r="C149" s="207">
        <v>1561539</v>
      </c>
      <c r="D149" s="207">
        <v>0</v>
      </c>
      <c r="E149" s="205">
        <v>0</v>
      </c>
      <c r="F149" s="207">
        <v>0</v>
      </c>
      <c r="G149" s="207">
        <v>787.85</v>
      </c>
      <c r="H149" s="207">
        <v>1561539</v>
      </c>
      <c r="I149" s="212">
        <v>0</v>
      </c>
      <c r="J149" s="207">
        <v>0</v>
      </c>
      <c r="K149" s="211">
        <v>0</v>
      </c>
      <c r="L149" s="207">
        <v>0</v>
      </c>
      <c r="M149" s="208">
        <v>0</v>
      </c>
      <c r="N149" s="207">
        <v>0</v>
      </c>
      <c r="O149" s="202"/>
    </row>
    <row r="150" spans="1:15">
      <c r="A150" s="209">
        <v>143</v>
      </c>
      <c r="B150" s="206" t="s">
        <v>218</v>
      </c>
      <c r="C150" s="207">
        <v>1421187</v>
      </c>
      <c r="D150" s="207">
        <v>0</v>
      </c>
      <c r="E150" s="205">
        <v>0</v>
      </c>
      <c r="F150" s="207">
        <v>0</v>
      </c>
      <c r="G150" s="207">
        <v>687</v>
      </c>
      <c r="H150" s="210">
        <v>1421187</v>
      </c>
      <c r="I150" s="205">
        <v>0</v>
      </c>
      <c r="J150" s="207">
        <v>0</v>
      </c>
      <c r="K150" s="211">
        <v>0</v>
      </c>
      <c r="L150" s="207">
        <v>0</v>
      </c>
      <c r="M150" s="208">
        <v>0</v>
      </c>
      <c r="N150" s="207">
        <v>0</v>
      </c>
      <c r="O150" s="202"/>
    </row>
    <row r="151" spans="1:15">
      <c r="A151" s="209">
        <v>144</v>
      </c>
      <c r="B151" s="206" t="s">
        <v>195</v>
      </c>
      <c r="C151" s="207">
        <v>2469740</v>
      </c>
      <c r="D151" s="207">
        <v>757154</v>
      </c>
      <c r="E151" s="205">
        <v>0</v>
      </c>
      <c r="F151" s="207">
        <v>0</v>
      </c>
      <c r="G151" s="207">
        <v>868.1</v>
      </c>
      <c r="H151" s="207">
        <v>1712586</v>
      </c>
      <c r="I151" s="205">
        <v>0</v>
      </c>
      <c r="J151" s="207">
        <v>0</v>
      </c>
      <c r="K151" s="208">
        <v>0</v>
      </c>
      <c r="L151" s="207">
        <v>0</v>
      </c>
      <c r="M151" s="208">
        <v>0</v>
      </c>
      <c r="N151" s="207">
        <v>0</v>
      </c>
      <c r="O151" s="202"/>
    </row>
    <row r="152" spans="1:15">
      <c r="A152" s="209">
        <v>145</v>
      </c>
      <c r="B152" s="206" t="s">
        <v>177</v>
      </c>
      <c r="C152" s="207">
        <v>1104857</v>
      </c>
      <c r="D152" s="207">
        <v>0</v>
      </c>
      <c r="E152" s="205">
        <v>0</v>
      </c>
      <c r="F152" s="207">
        <v>0</v>
      </c>
      <c r="G152" s="207">
        <v>545.6</v>
      </c>
      <c r="H152" s="207">
        <v>1104857</v>
      </c>
      <c r="I152" s="205">
        <v>0</v>
      </c>
      <c r="J152" s="207">
        <v>0</v>
      </c>
      <c r="K152" s="211">
        <v>0</v>
      </c>
      <c r="L152" s="207">
        <v>0</v>
      </c>
      <c r="M152" s="208">
        <v>0</v>
      </c>
      <c r="N152" s="207">
        <v>0</v>
      </c>
      <c r="O152" s="202"/>
    </row>
    <row r="153" spans="1:15">
      <c r="A153" s="209">
        <v>146</v>
      </c>
      <c r="B153" s="206" t="s">
        <v>228</v>
      </c>
      <c r="C153" s="207">
        <v>1877378</v>
      </c>
      <c r="D153" s="207">
        <v>0</v>
      </c>
      <c r="E153" s="205">
        <v>1</v>
      </c>
      <c r="F153" s="210">
        <v>1877378</v>
      </c>
      <c r="G153" s="207">
        <v>0</v>
      </c>
      <c r="H153" s="207">
        <v>0</v>
      </c>
      <c r="I153" s="205">
        <v>0</v>
      </c>
      <c r="J153" s="207">
        <v>0</v>
      </c>
      <c r="K153" s="208">
        <v>0</v>
      </c>
      <c r="L153" s="207">
        <v>0</v>
      </c>
      <c r="M153" s="208">
        <v>0</v>
      </c>
      <c r="N153" s="207">
        <v>0</v>
      </c>
      <c r="O153" s="202"/>
    </row>
    <row r="154" spans="1:15">
      <c r="A154" s="209">
        <v>147</v>
      </c>
      <c r="B154" s="206" t="s">
        <v>154</v>
      </c>
      <c r="C154" s="207">
        <v>2945836</v>
      </c>
      <c r="D154" s="207">
        <v>2945836</v>
      </c>
      <c r="E154" s="205">
        <v>0</v>
      </c>
      <c r="F154" s="207">
        <v>0</v>
      </c>
      <c r="G154" s="207">
        <v>0</v>
      </c>
      <c r="H154" s="207">
        <v>0</v>
      </c>
      <c r="I154" s="205">
        <v>0</v>
      </c>
      <c r="J154" s="207">
        <v>0</v>
      </c>
      <c r="K154" s="208">
        <v>0</v>
      </c>
      <c r="L154" s="207">
        <v>0</v>
      </c>
      <c r="M154" s="208">
        <v>0</v>
      </c>
      <c r="N154" s="207">
        <v>0</v>
      </c>
      <c r="O154" s="202"/>
    </row>
    <row r="155" spans="1:15">
      <c r="A155" s="209">
        <v>148</v>
      </c>
      <c r="B155" s="206" t="s">
        <v>151</v>
      </c>
      <c r="C155" s="207">
        <v>1118494</v>
      </c>
      <c r="D155" s="207">
        <v>1118494</v>
      </c>
      <c r="E155" s="205">
        <v>0</v>
      </c>
      <c r="F155" s="207">
        <v>0</v>
      </c>
      <c r="G155" s="210">
        <v>0</v>
      </c>
      <c r="H155" s="207">
        <v>0</v>
      </c>
      <c r="I155" s="205">
        <v>0</v>
      </c>
      <c r="J155" s="207">
        <v>0</v>
      </c>
      <c r="K155" s="211">
        <v>0</v>
      </c>
      <c r="L155" s="207">
        <v>0</v>
      </c>
      <c r="M155" s="208">
        <v>0</v>
      </c>
      <c r="N155" s="207">
        <v>0</v>
      </c>
      <c r="O155" s="202"/>
    </row>
    <row r="156" spans="1:15">
      <c r="A156" s="209">
        <v>149</v>
      </c>
      <c r="B156" s="206" t="s">
        <v>157</v>
      </c>
      <c r="C156" s="207">
        <v>2540427</v>
      </c>
      <c r="D156" s="207">
        <v>0</v>
      </c>
      <c r="E156" s="205">
        <v>0</v>
      </c>
      <c r="F156" s="207">
        <v>0</v>
      </c>
      <c r="G156" s="207">
        <v>592</v>
      </c>
      <c r="H156" s="207">
        <v>1201460</v>
      </c>
      <c r="I156" s="205">
        <v>0</v>
      </c>
      <c r="J156" s="207">
        <v>0</v>
      </c>
      <c r="K156" s="207">
        <v>922</v>
      </c>
      <c r="L156" s="207">
        <v>1338967</v>
      </c>
      <c r="M156" s="208">
        <v>0</v>
      </c>
      <c r="N156" s="207">
        <v>0</v>
      </c>
      <c r="O156" s="202"/>
    </row>
    <row r="157" spans="1:15">
      <c r="A157" s="209">
        <v>150</v>
      </c>
      <c r="B157" s="206" t="s">
        <v>200</v>
      </c>
      <c r="C157" s="207">
        <v>2253297</v>
      </c>
      <c r="D157" s="207">
        <v>0</v>
      </c>
      <c r="E157" s="205">
        <v>0</v>
      </c>
      <c r="F157" s="207">
        <v>0</v>
      </c>
      <c r="G157" s="207">
        <v>1126</v>
      </c>
      <c r="H157" s="207">
        <v>2253297</v>
      </c>
      <c r="I157" s="205">
        <v>0</v>
      </c>
      <c r="J157" s="207">
        <v>0</v>
      </c>
      <c r="K157" s="208">
        <v>0</v>
      </c>
      <c r="L157" s="207">
        <v>0</v>
      </c>
      <c r="M157" s="208">
        <v>0</v>
      </c>
      <c r="N157" s="207">
        <v>0</v>
      </c>
      <c r="O157" s="202"/>
    </row>
    <row r="158" spans="1:15" s="74" customFormat="1">
      <c r="A158" s="205">
        <v>151</v>
      </c>
      <c r="B158" s="206" t="s">
        <v>210</v>
      </c>
      <c r="C158" s="207">
        <v>1390061</v>
      </c>
      <c r="D158" s="207">
        <v>1390061</v>
      </c>
      <c r="E158" s="205">
        <v>0</v>
      </c>
      <c r="F158" s="207">
        <v>0</v>
      </c>
      <c r="G158" s="207">
        <v>0</v>
      </c>
      <c r="H158" s="207">
        <v>0</v>
      </c>
      <c r="I158" s="205">
        <v>0</v>
      </c>
      <c r="J158" s="207">
        <v>0</v>
      </c>
      <c r="K158" s="208">
        <v>0</v>
      </c>
      <c r="L158" s="207">
        <v>0</v>
      </c>
      <c r="M158" s="208">
        <v>0</v>
      </c>
      <c r="N158" s="207">
        <v>0</v>
      </c>
      <c r="O158" s="202"/>
    </row>
    <row r="159" spans="1:15" ht="30">
      <c r="A159" s="209">
        <v>152</v>
      </c>
      <c r="B159" s="206" t="s">
        <v>266</v>
      </c>
      <c r="C159" s="207">
        <v>3213804</v>
      </c>
      <c r="D159" s="207">
        <v>846948</v>
      </c>
      <c r="E159" s="205">
        <v>0</v>
      </c>
      <c r="F159" s="207">
        <v>0</v>
      </c>
      <c r="G159" s="207">
        <v>1200</v>
      </c>
      <c r="H159" s="207">
        <v>2366856</v>
      </c>
      <c r="I159" s="205">
        <v>0</v>
      </c>
      <c r="J159" s="207">
        <v>0</v>
      </c>
      <c r="K159" s="208">
        <v>0</v>
      </c>
      <c r="L159" s="207">
        <v>0</v>
      </c>
      <c r="M159" s="208">
        <v>0</v>
      </c>
      <c r="N159" s="207">
        <v>0</v>
      </c>
      <c r="O159" s="202"/>
    </row>
    <row r="160" spans="1:15">
      <c r="A160" s="209">
        <v>153</v>
      </c>
      <c r="B160" s="206" t="s">
        <v>222</v>
      </c>
      <c r="C160" s="207">
        <v>3202371</v>
      </c>
      <c r="D160" s="207">
        <v>0</v>
      </c>
      <c r="E160" s="205">
        <v>0</v>
      </c>
      <c r="F160" s="207">
        <v>0</v>
      </c>
      <c r="G160" s="207">
        <v>0</v>
      </c>
      <c r="H160" s="207">
        <v>0</v>
      </c>
      <c r="I160" s="205">
        <v>0</v>
      </c>
      <c r="J160" s="207">
        <v>0</v>
      </c>
      <c r="K160" s="207">
        <v>2220.83</v>
      </c>
      <c r="L160" s="207">
        <v>3202371</v>
      </c>
      <c r="M160" s="208">
        <v>0</v>
      </c>
      <c r="N160" s="207">
        <v>0</v>
      </c>
      <c r="O160" s="202"/>
    </row>
    <row r="161" spans="1:15">
      <c r="A161" s="209">
        <v>154</v>
      </c>
      <c r="B161" s="206" t="s">
        <v>178</v>
      </c>
      <c r="C161" s="207">
        <v>709022</v>
      </c>
      <c r="D161" s="207">
        <v>0</v>
      </c>
      <c r="E161" s="205">
        <v>0</v>
      </c>
      <c r="F161" s="207">
        <v>0</v>
      </c>
      <c r="G161" s="207">
        <v>0</v>
      </c>
      <c r="H161" s="207">
        <v>0</v>
      </c>
      <c r="I161" s="205">
        <v>0</v>
      </c>
      <c r="J161" s="207">
        <v>0</v>
      </c>
      <c r="K161" s="207">
        <v>486.6</v>
      </c>
      <c r="L161" s="210">
        <v>709022</v>
      </c>
      <c r="M161" s="208">
        <v>0</v>
      </c>
      <c r="N161" s="207">
        <v>0</v>
      </c>
      <c r="O161" s="202"/>
    </row>
    <row r="162" spans="1:15">
      <c r="A162" s="205">
        <v>155</v>
      </c>
      <c r="B162" s="206" t="s">
        <v>185</v>
      </c>
      <c r="C162" s="207">
        <v>1136930</v>
      </c>
      <c r="D162" s="207">
        <v>0</v>
      </c>
      <c r="E162" s="205">
        <v>0</v>
      </c>
      <c r="F162" s="207">
        <v>0</v>
      </c>
      <c r="G162" s="207">
        <v>278</v>
      </c>
      <c r="H162" s="207">
        <v>570382</v>
      </c>
      <c r="I162" s="205">
        <v>0</v>
      </c>
      <c r="J162" s="207">
        <v>0</v>
      </c>
      <c r="K162" s="207">
        <v>386.88</v>
      </c>
      <c r="L162" s="207">
        <v>566548</v>
      </c>
      <c r="M162" s="208">
        <v>0</v>
      </c>
      <c r="N162" s="207">
        <v>0</v>
      </c>
      <c r="O162" s="202"/>
    </row>
    <row r="163" spans="1:15">
      <c r="A163" s="209">
        <v>156</v>
      </c>
      <c r="B163" s="206" t="s">
        <v>273</v>
      </c>
      <c r="C163" s="207">
        <v>1320636</v>
      </c>
      <c r="D163" s="207">
        <v>0</v>
      </c>
      <c r="E163" s="205">
        <v>0</v>
      </c>
      <c r="F163" s="207">
        <v>0</v>
      </c>
      <c r="G163" s="214">
        <v>662</v>
      </c>
      <c r="H163" s="210">
        <v>1320636</v>
      </c>
      <c r="I163" s="205">
        <v>0</v>
      </c>
      <c r="J163" s="207">
        <v>0</v>
      </c>
      <c r="K163" s="208">
        <v>0</v>
      </c>
      <c r="L163" s="207">
        <v>0</v>
      </c>
      <c r="M163" s="208">
        <v>0</v>
      </c>
      <c r="N163" s="207">
        <v>0</v>
      </c>
      <c r="O163" s="202"/>
    </row>
    <row r="164" spans="1:15">
      <c r="A164" s="209">
        <v>157</v>
      </c>
      <c r="B164" s="206" t="s">
        <v>226</v>
      </c>
      <c r="C164" s="207">
        <v>4265098</v>
      </c>
      <c r="D164" s="207">
        <v>0</v>
      </c>
      <c r="E164" s="205">
        <v>0</v>
      </c>
      <c r="F164" s="207">
        <v>0</v>
      </c>
      <c r="G164" s="207">
        <v>0</v>
      </c>
      <c r="H164" s="207">
        <v>0</v>
      </c>
      <c r="I164" s="205">
        <v>0</v>
      </c>
      <c r="J164" s="207">
        <v>0</v>
      </c>
      <c r="K164" s="207">
        <v>2927.5</v>
      </c>
      <c r="L164" s="207">
        <v>4265098</v>
      </c>
      <c r="M164" s="208">
        <v>0</v>
      </c>
      <c r="N164" s="207">
        <v>0</v>
      </c>
      <c r="O164" s="202"/>
    </row>
    <row r="165" spans="1:15">
      <c r="A165" s="209">
        <v>158</v>
      </c>
      <c r="B165" s="206" t="s">
        <v>265</v>
      </c>
      <c r="C165" s="207">
        <v>2115890</v>
      </c>
      <c r="D165" s="207">
        <v>2115890</v>
      </c>
      <c r="E165" s="205">
        <v>0</v>
      </c>
      <c r="F165" s="207">
        <v>0</v>
      </c>
      <c r="G165" s="207">
        <v>0</v>
      </c>
      <c r="H165" s="207">
        <v>0</v>
      </c>
      <c r="I165" s="205">
        <v>0</v>
      </c>
      <c r="J165" s="207">
        <v>0</v>
      </c>
      <c r="K165" s="208">
        <v>0</v>
      </c>
      <c r="L165" s="207">
        <v>0</v>
      </c>
      <c r="M165" s="208">
        <v>0</v>
      </c>
      <c r="N165" s="207">
        <v>0</v>
      </c>
      <c r="O165" s="202"/>
    </row>
    <row r="166" spans="1:15">
      <c r="A166" s="209">
        <v>159</v>
      </c>
      <c r="B166" s="206" t="s">
        <v>167</v>
      </c>
      <c r="C166" s="207">
        <v>482251.51</v>
      </c>
      <c r="D166" s="207">
        <v>482251.51</v>
      </c>
      <c r="E166" s="205">
        <v>0</v>
      </c>
      <c r="F166" s="207">
        <v>0</v>
      </c>
      <c r="G166" s="207">
        <v>0</v>
      </c>
      <c r="H166" s="207">
        <v>0</v>
      </c>
      <c r="I166" s="205">
        <v>0</v>
      </c>
      <c r="J166" s="207">
        <v>0</v>
      </c>
      <c r="K166" s="208">
        <v>0</v>
      </c>
      <c r="L166" s="207">
        <v>0</v>
      </c>
      <c r="M166" s="208">
        <v>0</v>
      </c>
      <c r="N166" s="207">
        <v>0</v>
      </c>
      <c r="O166" s="202"/>
    </row>
    <row r="167" spans="1:15">
      <c r="A167" s="209">
        <v>160</v>
      </c>
      <c r="B167" s="206" t="s">
        <v>203</v>
      </c>
      <c r="C167" s="207">
        <v>1018040.92</v>
      </c>
      <c r="D167" s="207">
        <v>0</v>
      </c>
      <c r="E167" s="205">
        <v>0</v>
      </c>
      <c r="F167" s="207">
        <v>0</v>
      </c>
      <c r="G167" s="207">
        <v>516.5</v>
      </c>
      <c r="H167" s="207">
        <v>1018040.92</v>
      </c>
      <c r="I167" s="205">
        <v>0</v>
      </c>
      <c r="J167" s="207">
        <v>0</v>
      </c>
      <c r="K167" s="208">
        <v>0</v>
      </c>
      <c r="L167" s="207">
        <v>0</v>
      </c>
      <c r="M167" s="208">
        <v>0</v>
      </c>
      <c r="N167" s="207">
        <v>0</v>
      </c>
      <c r="O167" s="202"/>
    </row>
    <row r="168" spans="1:15">
      <c r="A168" s="209">
        <v>161</v>
      </c>
      <c r="B168" s="206" t="s">
        <v>187</v>
      </c>
      <c r="C168" s="207">
        <v>1871554</v>
      </c>
      <c r="D168" s="207">
        <v>0</v>
      </c>
      <c r="E168" s="205">
        <v>1</v>
      </c>
      <c r="F168" s="207">
        <v>1871554</v>
      </c>
      <c r="G168" s="207">
        <v>0</v>
      </c>
      <c r="H168" s="207">
        <v>0</v>
      </c>
      <c r="I168" s="205">
        <v>0</v>
      </c>
      <c r="J168" s="207">
        <v>0</v>
      </c>
      <c r="K168" s="208">
        <v>0</v>
      </c>
      <c r="L168" s="207">
        <v>0</v>
      </c>
      <c r="M168" s="208">
        <v>0</v>
      </c>
      <c r="N168" s="207">
        <v>0</v>
      </c>
      <c r="O168" s="202"/>
    </row>
    <row r="169" spans="1:15">
      <c r="A169" s="209">
        <v>162</v>
      </c>
      <c r="B169" s="206" t="s">
        <v>214</v>
      </c>
      <c r="C169" s="207">
        <v>2652530</v>
      </c>
      <c r="D169" s="207">
        <v>2652530</v>
      </c>
      <c r="E169" s="205">
        <v>0</v>
      </c>
      <c r="F169" s="207">
        <v>0</v>
      </c>
      <c r="G169" s="210">
        <v>0</v>
      </c>
      <c r="H169" s="207">
        <v>0</v>
      </c>
      <c r="I169" s="205">
        <v>0</v>
      </c>
      <c r="J169" s="207">
        <v>0</v>
      </c>
      <c r="K169" s="211">
        <v>0</v>
      </c>
      <c r="L169" s="207">
        <v>0</v>
      </c>
      <c r="M169" s="208">
        <v>0</v>
      </c>
      <c r="N169" s="207">
        <v>0</v>
      </c>
      <c r="O169" s="202"/>
    </row>
    <row r="170" spans="1:15">
      <c r="A170" s="209">
        <v>163</v>
      </c>
      <c r="B170" s="206" t="s">
        <v>280</v>
      </c>
      <c r="C170" s="207">
        <v>3645969</v>
      </c>
      <c r="D170" s="207">
        <v>3645969</v>
      </c>
      <c r="E170" s="205">
        <v>0</v>
      </c>
      <c r="F170" s="207">
        <v>0</v>
      </c>
      <c r="G170" s="207">
        <v>0</v>
      </c>
      <c r="H170" s="207">
        <v>0</v>
      </c>
      <c r="I170" s="205">
        <v>0</v>
      </c>
      <c r="J170" s="207">
        <v>0</v>
      </c>
      <c r="K170" s="211">
        <v>0</v>
      </c>
      <c r="L170" s="207">
        <v>0</v>
      </c>
      <c r="M170" s="208">
        <v>0</v>
      </c>
      <c r="N170" s="207">
        <v>0</v>
      </c>
      <c r="O170" s="202"/>
    </row>
    <row r="171" spans="1:15">
      <c r="A171" s="209">
        <v>164</v>
      </c>
      <c r="B171" s="206" t="s">
        <v>278</v>
      </c>
      <c r="C171" s="207">
        <v>771330</v>
      </c>
      <c r="D171" s="207">
        <v>0</v>
      </c>
      <c r="E171" s="205">
        <v>0</v>
      </c>
      <c r="F171" s="207">
        <v>0</v>
      </c>
      <c r="G171" s="207">
        <v>376</v>
      </c>
      <c r="H171" s="207">
        <v>771330</v>
      </c>
      <c r="I171" s="205">
        <v>0</v>
      </c>
      <c r="J171" s="207">
        <v>0</v>
      </c>
      <c r="K171" s="208">
        <v>0</v>
      </c>
      <c r="L171" s="207">
        <v>0</v>
      </c>
      <c r="M171" s="208">
        <v>0</v>
      </c>
      <c r="N171" s="207">
        <v>0</v>
      </c>
      <c r="O171" s="202"/>
    </row>
    <row r="172" spans="1:15">
      <c r="A172" s="209">
        <v>165</v>
      </c>
      <c r="B172" s="206" t="s">
        <v>276</v>
      </c>
      <c r="C172" s="207">
        <v>1894719</v>
      </c>
      <c r="D172" s="207">
        <v>0</v>
      </c>
      <c r="E172" s="205">
        <v>1</v>
      </c>
      <c r="F172" s="207">
        <v>1894719</v>
      </c>
      <c r="G172" s="207">
        <v>0</v>
      </c>
      <c r="H172" s="207">
        <v>0</v>
      </c>
      <c r="I172" s="205">
        <v>0</v>
      </c>
      <c r="J172" s="207">
        <v>0</v>
      </c>
      <c r="K172" s="208">
        <v>0</v>
      </c>
      <c r="L172" s="207">
        <v>0</v>
      </c>
      <c r="M172" s="208">
        <v>0</v>
      </c>
      <c r="N172" s="207">
        <v>0</v>
      </c>
      <c r="O172" s="202"/>
    </row>
    <row r="173" spans="1:15">
      <c r="A173" s="209">
        <v>166</v>
      </c>
      <c r="B173" s="206" t="s">
        <v>279</v>
      </c>
      <c r="C173" s="207">
        <v>1492412</v>
      </c>
      <c r="D173" s="207">
        <v>0</v>
      </c>
      <c r="E173" s="205">
        <v>0</v>
      </c>
      <c r="F173" s="207">
        <v>0</v>
      </c>
      <c r="G173" s="207">
        <v>752</v>
      </c>
      <c r="H173" s="207">
        <v>1492412</v>
      </c>
      <c r="I173" s="205">
        <v>0</v>
      </c>
      <c r="J173" s="207">
        <v>0</v>
      </c>
      <c r="K173" s="208">
        <v>0</v>
      </c>
      <c r="L173" s="207">
        <v>0</v>
      </c>
      <c r="M173" s="208">
        <v>0</v>
      </c>
      <c r="N173" s="207">
        <v>0</v>
      </c>
      <c r="O173" s="202"/>
    </row>
    <row r="174" spans="1:15">
      <c r="A174" s="209">
        <v>167</v>
      </c>
      <c r="B174" s="206" t="s">
        <v>242</v>
      </c>
      <c r="C174" s="207">
        <v>651523.25</v>
      </c>
      <c r="D174" s="207">
        <v>651523.25</v>
      </c>
      <c r="E174" s="205">
        <v>0</v>
      </c>
      <c r="F174" s="207">
        <v>0</v>
      </c>
      <c r="G174" s="210">
        <v>0</v>
      </c>
      <c r="H174" s="207">
        <v>0</v>
      </c>
      <c r="I174" s="205">
        <v>0</v>
      </c>
      <c r="J174" s="207">
        <v>0</v>
      </c>
      <c r="K174" s="211">
        <v>0</v>
      </c>
      <c r="L174" s="207">
        <v>0</v>
      </c>
      <c r="M174" s="208">
        <v>0</v>
      </c>
      <c r="N174" s="207">
        <v>0</v>
      </c>
      <c r="O174" s="202"/>
    </row>
    <row r="175" spans="1:15">
      <c r="A175" s="209">
        <v>168</v>
      </c>
      <c r="B175" s="206" t="s">
        <v>277</v>
      </c>
      <c r="C175" s="207">
        <v>1221424.83</v>
      </c>
      <c r="D175" s="207">
        <v>0</v>
      </c>
      <c r="E175" s="205">
        <v>0</v>
      </c>
      <c r="F175" s="207">
        <v>0</v>
      </c>
      <c r="G175" s="207">
        <v>640</v>
      </c>
      <c r="H175" s="207">
        <v>1221424.83</v>
      </c>
      <c r="I175" s="205">
        <v>0</v>
      </c>
      <c r="J175" s="207">
        <v>0</v>
      </c>
      <c r="K175" s="211">
        <v>0</v>
      </c>
      <c r="L175" s="207">
        <v>0</v>
      </c>
      <c r="M175" s="208">
        <v>0</v>
      </c>
      <c r="N175" s="207">
        <v>0</v>
      </c>
      <c r="O175" s="202"/>
    </row>
    <row r="176" spans="1:15" ht="31.5" customHeight="1">
      <c r="A176" s="209"/>
      <c r="B176" s="206" t="s">
        <v>607</v>
      </c>
      <c r="C176" s="207">
        <v>31626806</v>
      </c>
      <c r="D176" s="207">
        <v>0</v>
      </c>
      <c r="E176" s="215">
        <v>15</v>
      </c>
      <c r="F176" s="207">
        <v>27850842</v>
      </c>
      <c r="G176" s="207">
        <v>1920</v>
      </c>
      <c r="H176" s="210">
        <v>3775964</v>
      </c>
      <c r="I176" s="216">
        <v>0</v>
      </c>
      <c r="J176" s="207">
        <v>0</v>
      </c>
      <c r="K176" s="208">
        <v>0</v>
      </c>
      <c r="L176" s="207">
        <v>0</v>
      </c>
      <c r="M176" s="215">
        <v>0</v>
      </c>
      <c r="N176" s="207">
        <v>0</v>
      </c>
      <c r="O176" s="202"/>
    </row>
    <row r="177" spans="1:15">
      <c r="A177" s="209">
        <v>169</v>
      </c>
      <c r="B177" s="217" t="s">
        <v>368</v>
      </c>
      <c r="C177" s="207">
        <v>7506577</v>
      </c>
      <c r="D177" s="207">
        <v>0</v>
      </c>
      <c r="E177" s="218">
        <v>4</v>
      </c>
      <c r="F177" s="210">
        <v>7506577</v>
      </c>
      <c r="G177" s="210">
        <v>0</v>
      </c>
      <c r="H177" s="210">
        <v>0</v>
      </c>
      <c r="I177" s="219">
        <v>0</v>
      </c>
      <c r="J177" s="210">
        <v>0</v>
      </c>
      <c r="K177" s="211">
        <v>0</v>
      </c>
      <c r="L177" s="220">
        <v>0</v>
      </c>
      <c r="M177" s="219">
        <v>0</v>
      </c>
      <c r="N177" s="220">
        <v>0</v>
      </c>
      <c r="O177" s="202"/>
    </row>
    <row r="178" spans="1:15">
      <c r="A178" s="209">
        <v>170</v>
      </c>
      <c r="B178" s="217" t="s">
        <v>665</v>
      </c>
      <c r="C178" s="207">
        <v>1846064</v>
      </c>
      <c r="D178" s="207">
        <v>0</v>
      </c>
      <c r="E178" s="218">
        <v>1</v>
      </c>
      <c r="F178" s="210">
        <v>1846064</v>
      </c>
      <c r="G178" s="210">
        <v>0</v>
      </c>
      <c r="H178" s="210">
        <v>0</v>
      </c>
      <c r="I178" s="219">
        <v>0</v>
      </c>
      <c r="J178" s="210">
        <v>0</v>
      </c>
      <c r="K178" s="211">
        <v>0</v>
      </c>
      <c r="L178" s="220">
        <v>0</v>
      </c>
      <c r="M178" s="219">
        <v>0</v>
      </c>
      <c r="N178" s="220">
        <v>0</v>
      </c>
      <c r="O178" s="202"/>
    </row>
    <row r="179" spans="1:15">
      <c r="A179" s="209">
        <v>171</v>
      </c>
      <c r="B179" s="217" t="s">
        <v>118</v>
      </c>
      <c r="C179" s="207">
        <v>5600467</v>
      </c>
      <c r="D179" s="207">
        <v>0</v>
      </c>
      <c r="E179" s="218">
        <v>3</v>
      </c>
      <c r="F179" s="210">
        <v>5600467</v>
      </c>
      <c r="G179" s="210">
        <v>0</v>
      </c>
      <c r="H179" s="210">
        <v>0</v>
      </c>
      <c r="I179" s="219">
        <v>0</v>
      </c>
      <c r="J179" s="210">
        <v>0</v>
      </c>
      <c r="K179" s="211">
        <v>0</v>
      </c>
      <c r="L179" s="220">
        <v>0</v>
      </c>
      <c r="M179" s="219">
        <v>0</v>
      </c>
      <c r="N179" s="220">
        <v>0</v>
      </c>
      <c r="O179" s="202"/>
    </row>
    <row r="180" spans="1:15">
      <c r="A180" s="209">
        <v>172</v>
      </c>
      <c r="B180" s="217" t="s">
        <v>129</v>
      </c>
      <c r="C180" s="207">
        <v>3775964</v>
      </c>
      <c r="D180" s="207">
        <v>0</v>
      </c>
      <c r="E180" s="218">
        <v>0</v>
      </c>
      <c r="F180" s="210">
        <v>0</v>
      </c>
      <c r="G180" s="210">
        <v>1920</v>
      </c>
      <c r="H180" s="210">
        <v>3775964</v>
      </c>
      <c r="I180" s="219">
        <v>0</v>
      </c>
      <c r="J180" s="210">
        <v>0</v>
      </c>
      <c r="K180" s="211">
        <v>0</v>
      </c>
      <c r="L180" s="220">
        <v>0</v>
      </c>
      <c r="M180" s="219">
        <v>0</v>
      </c>
      <c r="N180" s="220">
        <v>0</v>
      </c>
      <c r="O180" s="202"/>
    </row>
    <row r="181" spans="1:15">
      <c r="A181" s="209">
        <v>173</v>
      </c>
      <c r="B181" s="217" t="s">
        <v>107</v>
      </c>
      <c r="C181" s="207">
        <v>3714534</v>
      </c>
      <c r="D181" s="207">
        <v>0</v>
      </c>
      <c r="E181" s="218">
        <v>2</v>
      </c>
      <c r="F181" s="210">
        <v>3714534</v>
      </c>
      <c r="G181" s="210">
        <v>0</v>
      </c>
      <c r="H181" s="210">
        <v>0</v>
      </c>
      <c r="I181" s="219">
        <v>0</v>
      </c>
      <c r="J181" s="210">
        <v>0</v>
      </c>
      <c r="K181" s="211">
        <v>0</v>
      </c>
      <c r="L181" s="220">
        <v>0</v>
      </c>
      <c r="M181" s="219">
        <v>0</v>
      </c>
      <c r="N181" s="220">
        <v>0</v>
      </c>
      <c r="O181" s="202"/>
    </row>
    <row r="182" spans="1:15">
      <c r="A182" s="209">
        <v>174</v>
      </c>
      <c r="B182" s="217" t="s">
        <v>108</v>
      </c>
      <c r="C182" s="207">
        <v>3603162</v>
      </c>
      <c r="D182" s="207">
        <v>0</v>
      </c>
      <c r="E182" s="218">
        <v>2</v>
      </c>
      <c r="F182" s="210">
        <v>3603162</v>
      </c>
      <c r="G182" s="210">
        <v>0</v>
      </c>
      <c r="H182" s="210">
        <v>0</v>
      </c>
      <c r="I182" s="219">
        <v>0</v>
      </c>
      <c r="J182" s="210">
        <v>0</v>
      </c>
      <c r="K182" s="211">
        <v>0</v>
      </c>
      <c r="L182" s="220">
        <v>0</v>
      </c>
      <c r="M182" s="219">
        <v>0</v>
      </c>
      <c r="N182" s="220">
        <v>0</v>
      </c>
      <c r="O182" s="202"/>
    </row>
    <row r="183" spans="1:15">
      <c r="A183" s="209">
        <v>175</v>
      </c>
      <c r="B183" s="217" t="s">
        <v>106</v>
      </c>
      <c r="C183" s="207">
        <v>3738962</v>
      </c>
      <c r="D183" s="207">
        <v>0</v>
      </c>
      <c r="E183" s="215">
        <v>2</v>
      </c>
      <c r="F183" s="210">
        <v>3738962</v>
      </c>
      <c r="G183" s="210">
        <v>0</v>
      </c>
      <c r="H183" s="210">
        <v>0</v>
      </c>
      <c r="I183" s="219">
        <v>0</v>
      </c>
      <c r="J183" s="210">
        <v>0</v>
      </c>
      <c r="K183" s="211">
        <v>0</v>
      </c>
      <c r="L183" s="220">
        <v>0</v>
      </c>
      <c r="M183" s="219">
        <v>0</v>
      </c>
      <c r="N183" s="220">
        <v>0</v>
      </c>
      <c r="O183" s="202"/>
    </row>
    <row r="184" spans="1:15">
      <c r="A184" s="209">
        <v>176</v>
      </c>
      <c r="B184" s="217" t="s">
        <v>117</v>
      </c>
      <c r="C184" s="207">
        <v>1841076</v>
      </c>
      <c r="D184" s="207">
        <v>0</v>
      </c>
      <c r="E184" s="218">
        <v>1</v>
      </c>
      <c r="F184" s="210">
        <v>1841076</v>
      </c>
      <c r="G184" s="210">
        <v>0</v>
      </c>
      <c r="H184" s="210">
        <v>0</v>
      </c>
      <c r="I184" s="219">
        <v>0</v>
      </c>
      <c r="J184" s="210">
        <v>0</v>
      </c>
      <c r="K184" s="211">
        <v>0</v>
      </c>
      <c r="L184" s="220">
        <v>0</v>
      </c>
      <c r="M184" s="219">
        <v>0</v>
      </c>
      <c r="N184" s="220">
        <v>0</v>
      </c>
      <c r="O184" s="202"/>
    </row>
    <row r="185" spans="1:15" ht="18.75" customHeight="1">
      <c r="A185" s="209"/>
      <c r="B185" s="217" t="s">
        <v>608</v>
      </c>
      <c r="C185" s="207">
        <v>1719552</v>
      </c>
      <c r="D185" s="207">
        <v>0</v>
      </c>
      <c r="E185" s="215">
        <v>0</v>
      </c>
      <c r="F185" s="207">
        <v>0</v>
      </c>
      <c r="G185" s="207">
        <v>866</v>
      </c>
      <c r="H185" s="207">
        <v>1719552</v>
      </c>
      <c r="I185" s="215">
        <v>0</v>
      </c>
      <c r="J185" s="207">
        <v>0</v>
      </c>
      <c r="K185" s="208">
        <v>0</v>
      </c>
      <c r="L185" s="207">
        <v>0</v>
      </c>
      <c r="M185" s="215">
        <v>0</v>
      </c>
      <c r="N185" s="207">
        <v>0</v>
      </c>
      <c r="O185" s="202"/>
    </row>
    <row r="186" spans="1:15">
      <c r="A186" s="209">
        <v>177</v>
      </c>
      <c r="B186" s="217" t="s">
        <v>561</v>
      </c>
      <c r="C186" s="207">
        <v>1719552</v>
      </c>
      <c r="D186" s="207">
        <v>0</v>
      </c>
      <c r="E186" s="215">
        <v>0</v>
      </c>
      <c r="F186" s="210">
        <v>0</v>
      </c>
      <c r="G186" s="221">
        <v>866</v>
      </c>
      <c r="H186" s="210">
        <v>1719552</v>
      </c>
      <c r="I186" s="219">
        <v>0</v>
      </c>
      <c r="J186" s="210">
        <v>0</v>
      </c>
      <c r="K186" s="211">
        <v>0</v>
      </c>
      <c r="L186" s="220">
        <v>0</v>
      </c>
      <c r="M186" s="219">
        <v>0</v>
      </c>
      <c r="N186" s="220">
        <v>0</v>
      </c>
      <c r="O186" s="202"/>
    </row>
    <row r="187" spans="1:15" ht="18.75" customHeight="1">
      <c r="A187" s="209"/>
      <c r="B187" s="206" t="s">
        <v>609</v>
      </c>
      <c r="C187" s="207">
        <v>38840631</v>
      </c>
      <c r="D187" s="207">
        <v>0</v>
      </c>
      <c r="E187" s="215">
        <v>0</v>
      </c>
      <c r="F187" s="222">
        <v>0</v>
      </c>
      <c r="G187" s="207">
        <v>19339.199999999997</v>
      </c>
      <c r="H187" s="207">
        <v>38840631</v>
      </c>
      <c r="I187" s="215">
        <v>0</v>
      </c>
      <c r="J187" s="207">
        <v>0</v>
      </c>
      <c r="K187" s="208">
        <v>0</v>
      </c>
      <c r="L187" s="222">
        <v>0</v>
      </c>
      <c r="M187" s="215">
        <v>0</v>
      </c>
      <c r="N187" s="222">
        <v>0</v>
      </c>
      <c r="O187" s="202"/>
    </row>
    <row r="188" spans="1:15" s="22" customFormat="1">
      <c r="A188" s="209">
        <v>178</v>
      </c>
      <c r="B188" s="223" t="s">
        <v>370</v>
      </c>
      <c r="C188" s="224">
        <v>928564</v>
      </c>
      <c r="D188" s="224">
        <v>0</v>
      </c>
      <c r="E188" s="225">
        <v>0</v>
      </c>
      <c r="F188" s="224">
        <v>0</v>
      </c>
      <c r="G188" s="224">
        <v>461.9</v>
      </c>
      <c r="H188" s="224">
        <v>928564</v>
      </c>
      <c r="I188" s="225">
        <v>0</v>
      </c>
      <c r="J188" s="224">
        <v>0</v>
      </c>
      <c r="K188" s="226">
        <v>0</v>
      </c>
      <c r="L188" s="224">
        <v>0</v>
      </c>
      <c r="M188" s="225">
        <v>0</v>
      </c>
      <c r="N188" s="224">
        <v>0</v>
      </c>
      <c r="O188" s="202"/>
    </row>
    <row r="189" spans="1:15" s="22" customFormat="1">
      <c r="A189" s="209">
        <v>179</v>
      </c>
      <c r="B189" s="223" t="s">
        <v>374</v>
      </c>
      <c r="C189" s="224">
        <v>1702522</v>
      </c>
      <c r="D189" s="224">
        <v>0</v>
      </c>
      <c r="E189" s="225">
        <v>0</v>
      </c>
      <c r="F189" s="224">
        <v>0</v>
      </c>
      <c r="G189" s="224">
        <v>839.9</v>
      </c>
      <c r="H189" s="224">
        <v>1702522</v>
      </c>
      <c r="I189" s="225">
        <v>0</v>
      </c>
      <c r="J189" s="224">
        <v>0</v>
      </c>
      <c r="K189" s="226">
        <v>0</v>
      </c>
      <c r="L189" s="224">
        <v>0</v>
      </c>
      <c r="M189" s="225">
        <v>0</v>
      </c>
      <c r="N189" s="224">
        <v>0</v>
      </c>
      <c r="O189" s="202"/>
    </row>
    <row r="190" spans="1:15" s="22" customFormat="1">
      <c r="A190" s="209">
        <v>180</v>
      </c>
      <c r="B190" s="223" t="s">
        <v>373</v>
      </c>
      <c r="C190" s="224">
        <v>2247511</v>
      </c>
      <c r="D190" s="224">
        <v>0</v>
      </c>
      <c r="E190" s="225">
        <v>0</v>
      </c>
      <c r="F190" s="224">
        <v>0</v>
      </c>
      <c r="G190" s="224">
        <v>1138.4000000000001</v>
      </c>
      <c r="H190" s="224">
        <v>2247511</v>
      </c>
      <c r="I190" s="225">
        <v>0</v>
      </c>
      <c r="J190" s="224">
        <v>0</v>
      </c>
      <c r="K190" s="226">
        <v>0</v>
      </c>
      <c r="L190" s="224">
        <v>0</v>
      </c>
      <c r="M190" s="225">
        <v>0</v>
      </c>
      <c r="N190" s="224">
        <v>0</v>
      </c>
      <c r="O190" s="202"/>
    </row>
    <row r="191" spans="1:15" s="22" customFormat="1">
      <c r="A191" s="209">
        <v>181</v>
      </c>
      <c r="B191" s="223" t="s">
        <v>297</v>
      </c>
      <c r="C191" s="224">
        <v>1539002</v>
      </c>
      <c r="D191" s="224">
        <v>0</v>
      </c>
      <c r="E191" s="225">
        <v>0</v>
      </c>
      <c r="F191" s="224">
        <v>0</v>
      </c>
      <c r="G191" s="224">
        <v>775.3</v>
      </c>
      <c r="H191" s="224">
        <v>1539002</v>
      </c>
      <c r="I191" s="225">
        <v>0</v>
      </c>
      <c r="J191" s="224">
        <v>0</v>
      </c>
      <c r="K191" s="226">
        <v>0</v>
      </c>
      <c r="L191" s="224">
        <v>0</v>
      </c>
      <c r="M191" s="225">
        <v>0</v>
      </c>
      <c r="N191" s="224">
        <v>0</v>
      </c>
      <c r="O191" s="202"/>
    </row>
    <row r="192" spans="1:15" s="22" customFormat="1">
      <c r="A192" s="209">
        <v>182</v>
      </c>
      <c r="B192" s="223" t="s">
        <v>292</v>
      </c>
      <c r="C192" s="224">
        <v>630935</v>
      </c>
      <c r="D192" s="224">
        <v>0</v>
      </c>
      <c r="E192" s="225">
        <v>0</v>
      </c>
      <c r="F192" s="224">
        <v>0</v>
      </c>
      <c r="G192" s="224">
        <v>310.60000000000002</v>
      </c>
      <c r="H192" s="224">
        <v>630935</v>
      </c>
      <c r="I192" s="225">
        <v>0</v>
      </c>
      <c r="J192" s="224">
        <v>0</v>
      </c>
      <c r="K192" s="226">
        <v>0</v>
      </c>
      <c r="L192" s="224">
        <v>0</v>
      </c>
      <c r="M192" s="225">
        <v>0</v>
      </c>
      <c r="N192" s="224">
        <v>0</v>
      </c>
      <c r="O192" s="202"/>
    </row>
    <row r="193" spans="1:15" s="22" customFormat="1">
      <c r="A193" s="209">
        <v>183</v>
      </c>
      <c r="B193" s="223" t="s">
        <v>288</v>
      </c>
      <c r="C193" s="224">
        <v>514647</v>
      </c>
      <c r="D193" s="224">
        <v>0</v>
      </c>
      <c r="E193" s="225">
        <v>0</v>
      </c>
      <c r="F193" s="224">
        <v>0</v>
      </c>
      <c r="G193" s="224">
        <v>250.5</v>
      </c>
      <c r="H193" s="224">
        <v>514647</v>
      </c>
      <c r="I193" s="225">
        <v>0</v>
      </c>
      <c r="J193" s="224">
        <v>0</v>
      </c>
      <c r="K193" s="226">
        <v>0</v>
      </c>
      <c r="L193" s="224">
        <v>0</v>
      </c>
      <c r="M193" s="225">
        <v>0</v>
      </c>
      <c r="N193" s="224">
        <v>0</v>
      </c>
      <c r="O193" s="202"/>
    </row>
    <row r="194" spans="1:15" s="22" customFormat="1">
      <c r="A194" s="209">
        <v>184</v>
      </c>
      <c r="B194" s="223" t="s">
        <v>290</v>
      </c>
      <c r="C194" s="224">
        <v>1326732</v>
      </c>
      <c r="D194" s="224">
        <v>0</v>
      </c>
      <c r="E194" s="225">
        <v>0</v>
      </c>
      <c r="F194" s="224">
        <v>0</v>
      </c>
      <c r="G194" s="224">
        <v>654</v>
      </c>
      <c r="H194" s="224">
        <v>1326732</v>
      </c>
      <c r="I194" s="225">
        <v>0</v>
      </c>
      <c r="J194" s="224">
        <v>0</v>
      </c>
      <c r="K194" s="226">
        <v>0</v>
      </c>
      <c r="L194" s="224">
        <v>0</v>
      </c>
      <c r="M194" s="225">
        <v>0</v>
      </c>
      <c r="N194" s="224">
        <v>0</v>
      </c>
      <c r="O194" s="202"/>
    </row>
    <row r="195" spans="1:15" s="22" customFormat="1">
      <c r="A195" s="209">
        <v>185</v>
      </c>
      <c r="B195" s="223" t="s">
        <v>291</v>
      </c>
      <c r="C195" s="224">
        <v>692463</v>
      </c>
      <c r="D195" s="224">
        <v>0</v>
      </c>
      <c r="E195" s="225">
        <v>0</v>
      </c>
      <c r="F195" s="224">
        <v>0</v>
      </c>
      <c r="G195" s="224">
        <v>341.6</v>
      </c>
      <c r="H195" s="224">
        <v>692463</v>
      </c>
      <c r="I195" s="225">
        <v>0</v>
      </c>
      <c r="J195" s="224">
        <v>0</v>
      </c>
      <c r="K195" s="226">
        <v>0</v>
      </c>
      <c r="L195" s="224">
        <v>0</v>
      </c>
      <c r="M195" s="225">
        <v>0</v>
      </c>
      <c r="N195" s="224">
        <v>0</v>
      </c>
      <c r="O195" s="202"/>
    </row>
    <row r="196" spans="1:15" s="22" customFormat="1">
      <c r="A196" s="209">
        <v>186</v>
      </c>
      <c r="B196" s="223" t="s">
        <v>369</v>
      </c>
      <c r="C196" s="224">
        <v>482751</v>
      </c>
      <c r="D196" s="224">
        <v>0</v>
      </c>
      <c r="E196" s="225">
        <v>0</v>
      </c>
      <c r="F196" s="224">
        <v>0</v>
      </c>
      <c r="G196" s="224">
        <v>234.1</v>
      </c>
      <c r="H196" s="224">
        <v>482751</v>
      </c>
      <c r="I196" s="225">
        <v>0</v>
      </c>
      <c r="J196" s="224">
        <v>0</v>
      </c>
      <c r="K196" s="226">
        <v>0</v>
      </c>
      <c r="L196" s="224">
        <v>0</v>
      </c>
      <c r="M196" s="225">
        <v>0</v>
      </c>
      <c r="N196" s="224">
        <v>0</v>
      </c>
      <c r="O196" s="202"/>
    </row>
    <row r="197" spans="1:15" s="22" customFormat="1">
      <c r="A197" s="209">
        <v>187</v>
      </c>
      <c r="B197" s="223" t="s">
        <v>283</v>
      </c>
      <c r="C197" s="224">
        <v>1844392</v>
      </c>
      <c r="D197" s="224">
        <v>0</v>
      </c>
      <c r="E197" s="225">
        <v>0</v>
      </c>
      <c r="F197" s="224">
        <v>0</v>
      </c>
      <c r="G197" s="224">
        <v>932.2</v>
      </c>
      <c r="H197" s="224">
        <v>1844392</v>
      </c>
      <c r="I197" s="225">
        <v>0</v>
      </c>
      <c r="J197" s="224">
        <v>0</v>
      </c>
      <c r="K197" s="226">
        <v>0</v>
      </c>
      <c r="L197" s="224">
        <v>0</v>
      </c>
      <c r="M197" s="225">
        <v>0</v>
      </c>
      <c r="N197" s="224">
        <v>0</v>
      </c>
      <c r="O197" s="202"/>
    </row>
    <row r="198" spans="1:15" s="22" customFormat="1">
      <c r="A198" s="209">
        <v>188</v>
      </c>
      <c r="B198" s="223" t="s">
        <v>286</v>
      </c>
      <c r="C198" s="224">
        <v>2466512</v>
      </c>
      <c r="D198" s="224">
        <v>0</v>
      </c>
      <c r="E198" s="225">
        <v>0</v>
      </c>
      <c r="F198" s="224">
        <v>0</v>
      </c>
      <c r="G198" s="224">
        <v>1213.0999999999999</v>
      </c>
      <c r="H198" s="224">
        <v>2466512</v>
      </c>
      <c r="I198" s="225">
        <v>0</v>
      </c>
      <c r="J198" s="224">
        <v>0</v>
      </c>
      <c r="K198" s="226">
        <v>0</v>
      </c>
      <c r="L198" s="224">
        <v>0</v>
      </c>
      <c r="M198" s="225">
        <v>0</v>
      </c>
      <c r="N198" s="224">
        <v>0</v>
      </c>
      <c r="O198" s="202"/>
    </row>
    <row r="199" spans="1:15" s="22" customFormat="1">
      <c r="A199" s="209">
        <v>189</v>
      </c>
      <c r="B199" s="223" t="s">
        <v>372</v>
      </c>
      <c r="C199" s="224">
        <v>846403</v>
      </c>
      <c r="D199" s="224">
        <v>0</v>
      </c>
      <c r="E199" s="225">
        <v>0</v>
      </c>
      <c r="F199" s="224">
        <v>0</v>
      </c>
      <c r="G199" s="224">
        <v>420.09</v>
      </c>
      <c r="H199" s="224">
        <v>846403</v>
      </c>
      <c r="I199" s="225">
        <v>0</v>
      </c>
      <c r="J199" s="224">
        <v>0</v>
      </c>
      <c r="K199" s="226">
        <v>0</v>
      </c>
      <c r="L199" s="224">
        <v>0</v>
      </c>
      <c r="M199" s="225">
        <v>0</v>
      </c>
      <c r="N199" s="224">
        <v>0</v>
      </c>
      <c r="O199" s="202"/>
    </row>
    <row r="200" spans="1:15" s="22" customFormat="1">
      <c r="A200" s="209">
        <v>190</v>
      </c>
      <c r="B200" s="223" t="s">
        <v>289</v>
      </c>
      <c r="C200" s="224">
        <v>1089312</v>
      </c>
      <c r="D200" s="224">
        <v>0</v>
      </c>
      <c r="E200" s="225">
        <v>0</v>
      </c>
      <c r="F200" s="224">
        <v>0</v>
      </c>
      <c r="G200" s="224">
        <v>535.4</v>
      </c>
      <c r="H200" s="224">
        <v>1089312</v>
      </c>
      <c r="I200" s="225">
        <v>0</v>
      </c>
      <c r="J200" s="224">
        <v>0</v>
      </c>
      <c r="K200" s="226">
        <v>0</v>
      </c>
      <c r="L200" s="224">
        <v>0</v>
      </c>
      <c r="M200" s="225">
        <v>0</v>
      </c>
      <c r="N200" s="224">
        <v>0</v>
      </c>
      <c r="O200" s="202"/>
    </row>
    <row r="201" spans="1:15" s="22" customFormat="1">
      <c r="A201" s="209">
        <v>191</v>
      </c>
      <c r="B201" s="223" t="s">
        <v>284</v>
      </c>
      <c r="C201" s="224">
        <v>1384957</v>
      </c>
      <c r="D201" s="224">
        <v>0</v>
      </c>
      <c r="E201" s="225">
        <v>0</v>
      </c>
      <c r="F201" s="224">
        <v>0</v>
      </c>
      <c r="G201" s="224">
        <v>697.1</v>
      </c>
      <c r="H201" s="224">
        <v>1384957</v>
      </c>
      <c r="I201" s="225">
        <v>0</v>
      </c>
      <c r="J201" s="224">
        <v>0</v>
      </c>
      <c r="K201" s="226">
        <v>0</v>
      </c>
      <c r="L201" s="224">
        <v>0</v>
      </c>
      <c r="M201" s="225">
        <v>0</v>
      </c>
      <c r="N201" s="224">
        <v>0</v>
      </c>
      <c r="O201" s="202"/>
    </row>
    <row r="202" spans="1:15" s="22" customFormat="1">
      <c r="A202" s="209">
        <v>192</v>
      </c>
      <c r="B202" s="223" t="s">
        <v>282</v>
      </c>
      <c r="C202" s="224">
        <v>862684</v>
      </c>
      <c r="D202" s="224">
        <v>0</v>
      </c>
      <c r="E202" s="225">
        <v>0</v>
      </c>
      <c r="F202" s="224">
        <v>0</v>
      </c>
      <c r="G202" s="224">
        <v>428.3</v>
      </c>
      <c r="H202" s="224">
        <v>862684</v>
      </c>
      <c r="I202" s="225">
        <v>0</v>
      </c>
      <c r="J202" s="224">
        <v>0</v>
      </c>
      <c r="K202" s="226">
        <v>0</v>
      </c>
      <c r="L202" s="224">
        <v>0</v>
      </c>
      <c r="M202" s="225">
        <v>0</v>
      </c>
      <c r="N202" s="224">
        <v>0</v>
      </c>
      <c r="O202" s="202"/>
    </row>
    <row r="203" spans="1:15" s="22" customFormat="1">
      <c r="A203" s="209">
        <v>193</v>
      </c>
      <c r="B203" s="223" t="s">
        <v>287</v>
      </c>
      <c r="C203" s="224">
        <v>1805441</v>
      </c>
      <c r="D203" s="224">
        <v>0</v>
      </c>
      <c r="E203" s="225">
        <v>0</v>
      </c>
      <c r="F203" s="224">
        <v>0</v>
      </c>
      <c r="G203" s="224">
        <v>891.4</v>
      </c>
      <c r="H203" s="224">
        <v>1805441</v>
      </c>
      <c r="I203" s="225">
        <v>0</v>
      </c>
      <c r="J203" s="224">
        <v>0</v>
      </c>
      <c r="K203" s="226">
        <v>0</v>
      </c>
      <c r="L203" s="224">
        <v>0</v>
      </c>
      <c r="M203" s="225">
        <v>0</v>
      </c>
      <c r="N203" s="224">
        <v>0</v>
      </c>
      <c r="O203" s="202"/>
    </row>
    <row r="204" spans="1:15" s="22" customFormat="1">
      <c r="A204" s="209">
        <v>194</v>
      </c>
      <c r="B204" s="223" t="s">
        <v>285</v>
      </c>
      <c r="C204" s="224">
        <v>2569192</v>
      </c>
      <c r="D204" s="224">
        <v>0</v>
      </c>
      <c r="E204" s="225">
        <v>0</v>
      </c>
      <c r="F204" s="224">
        <v>0</v>
      </c>
      <c r="G204" s="224">
        <v>1270.01</v>
      </c>
      <c r="H204" s="224">
        <v>2569192</v>
      </c>
      <c r="I204" s="225">
        <v>0</v>
      </c>
      <c r="J204" s="224">
        <v>0</v>
      </c>
      <c r="K204" s="226">
        <v>0</v>
      </c>
      <c r="L204" s="224">
        <v>0</v>
      </c>
      <c r="M204" s="225">
        <v>0</v>
      </c>
      <c r="N204" s="224">
        <v>0</v>
      </c>
      <c r="O204" s="202"/>
    </row>
    <row r="205" spans="1:15" s="22" customFormat="1">
      <c r="A205" s="209">
        <v>195</v>
      </c>
      <c r="B205" s="223" t="s">
        <v>293</v>
      </c>
      <c r="C205" s="224">
        <v>2371564</v>
      </c>
      <c r="D205" s="224">
        <v>0</v>
      </c>
      <c r="E205" s="225">
        <v>0</v>
      </c>
      <c r="F205" s="224">
        <v>0</v>
      </c>
      <c r="G205" s="224">
        <v>1168.9000000000001</v>
      </c>
      <c r="H205" s="224">
        <v>2371564</v>
      </c>
      <c r="I205" s="225">
        <v>0</v>
      </c>
      <c r="J205" s="224">
        <v>0</v>
      </c>
      <c r="K205" s="226">
        <v>0</v>
      </c>
      <c r="L205" s="224">
        <v>0</v>
      </c>
      <c r="M205" s="225">
        <v>0</v>
      </c>
      <c r="N205" s="224">
        <v>0</v>
      </c>
      <c r="O205" s="202"/>
    </row>
    <row r="206" spans="1:15" s="22" customFormat="1">
      <c r="A206" s="209">
        <v>196</v>
      </c>
      <c r="B206" s="223" t="s">
        <v>371</v>
      </c>
      <c r="C206" s="224">
        <v>1225786</v>
      </c>
      <c r="D206" s="224">
        <v>0</v>
      </c>
      <c r="E206" s="225">
        <v>0</v>
      </c>
      <c r="F206" s="224">
        <v>0</v>
      </c>
      <c r="G206" s="224">
        <v>612</v>
      </c>
      <c r="H206" s="224">
        <v>1225786</v>
      </c>
      <c r="I206" s="225">
        <v>0</v>
      </c>
      <c r="J206" s="224">
        <v>0</v>
      </c>
      <c r="K206" s="226">
        <v>0</v>
      </c>
      <c r="L206" s="224">
        <v>0</v>
      </c>
      <c r="M206" s="225">
        <v>0</v>
      </c>
      <c r="N206" s="224">
        <v>0</v>
      </c>
      <c r="O206" s="202"/>
    </row>
    <row r="207" spans="1:15" s="22" customFormat="1">
      <c r="A207" s="209">
        <v>197</v>
      </c>
      <c r="B207" s="223" t="s">
        <v>295</v>
      </c>
      <c r="C207" s="224">
        <v>2457266</v>
      </c>
      <c r="D207" s="224">
        <v>0</v>
      </c>
      <c r="E207" s="225">
        <v>0</v>
      </c>
      <c r="F207" s="224">
        <v>0</v>
      </c>
      <c r="G207" s="224">
        <v>1225.2</v>
      </c>
      <c r="H207" s="224">
        <v>2457266</v>
      </c>
      <c r="I207" s="225">
        <v>0</v>
      </c>
      <c r="J207" s="224">
        <v>0</v>
      </c>
      <c r="K207" s="226">
        <v>0</v>
      </c>
      <c r="L207" s="224">
        <v>0</v>
      </c>
      <c r="M207" s="225">
        <v>0</v>
      </c>
      <c r="N207" s="224">
        <v>0</v>
      </c>
      <c r="O207" s="202"/>
    </row>
    <row r="208" spans="1:15" s="22" customFormat="1">
      <c r="A208" s="209">
        <v>198</v>
      </c>
      <c r="B208" s="223" t="s">
        <v>299</v>
      </c>
      <c r="C208" s="224">
        <v>1578182</v>
      </c>
      <c r="D208" s="224">
        <v>0</v>
      </c>
      <c r="E208" s="225">
        <v>0</v>
      </c>
      <c r="F208" s="224">
        <v>0</v>
      </c>
      <c r="G208" s="224">
        <v>764.6</v>
      </c>
      <c r="H208" s="224">
        <v>1578182</v>
      </c>
      <c r="I208" s="225">
        <v>0</v>
      </c>
      <c r="J208" s="224">
        <v>0</v>
      </c>
      <c r="K208" s="226">
        <v>0</v>
      </c>
      <c r="L208" s="224">
        <v>0</v>
      </c>
      <c r="M208" s="225">
        <v>0</v>
      </c>
      <c r="N208" s="224">
        <v>0</v>
      </c>
      <c r="O208" s="202"/>
    </row>
    <row r="209" spans="1:15" s="22" customFormat="1">
      <c r="A209" s="209">
        <v>199</v>
      </c>
      <c r="B209" s="223" t="s">
        <v>294</v>
      </c>
      <c r="C209" s="224">
        <v>2541531</v>
      </c>
      <c r="D209" s="224">
        <v>0</v>
      </c>
      <c r="E209" s="225">
        <v>0</v>
      </c>
      <c r="F209" s="224">
        <v>0</v>
      </c>
      <c r="G209" s="224">
        <v>1275.8</v>
      </c>
      <c r="H209" s="224">
        <v>2541531</v>
      </c>
      <c r="I209" s="225">
        <v>0</v>
      </c>
      <c r="J209" s="224">
        <v>0</v>
      </c>
      <c r="K209" s="226">
        <v>0</v>
      </c>
      <c r="L209" s="224">
        <v>0</v>
      </c>
      <c r="M209" s="225">
        <v>0</v>
      </c>
      <c r="N209" s="224">
        <v>0</v>
      </c>
      <c r="O209" s="202"/>
    </row>
    <row r="210" spans="1:15" s="22" customFormat="1">
      <c r="A210" s="209">
        <v>200</v>
      </c>
      <c r="B210" s="223" t="s">
        <v>298</v>
      </c>
      <c r="C210" s="224">
        <v>1857292</v>
      </c>
      <c r="D210" s="224">
        <v>0</v>
      </c>
      <c r="E210" s="225">
        <v>0</v>
      </c>
      <c r="F210" s="224">
        <v>0</v>
      </c>
      <c r="G210" s="224">
        <v>939</v>
      </c>
      <c r="H210" s="224">
        <v>1857292</v>
      </c>
      <c r="I210" s="225">
        <v>0</v>
      </c>
      <c r="J210" s="224">
        <v>0</v>
      </c>
      <c r="K210" s="226">
        <v>0</v>
      </c>
      <c r="L210" s="224">
        <v>0</v>
      </c>
      <c r="M210" s="225">
        <v>0</v>
      </c>
      <c r="N210" s="224">
        <v>0</v>
      </c>
      <c r="O210" s="202"/>
    </row>
    <row r="211" spans="1:15" s="22" customFormat="1">
      <c r="A211" s="209">
        <v>201</v>
      </c>
      <c r="B211" s="223" t="s">
        <v>296</v>
      </c>
      <c r="C211" s="224">
        <v>876681</v>
      </c>
      <c r="D211" s="224">
        <v>0</v>
      </c>
      <c r="E211" s="225">
        <v>0</v>
      </c>
      <c r="F211" s="224">
        <v>0</v>
      </c>
      <c r="G211" s="224">
        <v>435.8</v>
      </c>
      <c r="H211" s="224">
        <v>876681</v>
      </c>
      <c r="I211" s="225">
        <v>0</v>
      </c>
      <c r="J211" s="224">
        <v>0</v>
      </c>
      <c r="K211" s="226">
        <v>0</v>
      </c>
      <c r="L211" s="224">
        <v>0</v>
      </c>
      <c r="M211" s="225">
        <v>0</v>
      </c>
      <c r="N211" s="224">
        <v>0</v>
      </c>
      <c r="O211" s="202"/>
    </row>
    <row r="212" spans="1:15" s="22" customFormat="1">
      <c r="A212" s="209">
        <v>202</v>
      </c>
      <c r="B212" s="223" t="s">
        <v>281</v>
      </c>
      <c r="C212" s="224">
        <v>2998309</v>
      </c>
      <c r="D212" s="224">
        <v>0</v>
      </c>
      <c r="E212" s="225">
        <v>0</v>
      </c>
      <c r="F212" s="224">
        <v>0</v>
      </c>
      <c r="G212" s="224">
        <v>1524</v>
      </c>
      <c r="H212" s="224">
        <v>2998309</v>
      </c>
      <c r="I212" s="225">
        <v>0</v>
      </c>
      <c r="J212" s="224">
        <v>0</v>
      </c>
      <c r="K212" s="226">
        <v>0</v>
      </c>
      <c r="L212" s="224">
        <v>0</v>
      </c>
      <c r="M212" s="225">
        <v>0</v>
      </c>
      <c r="N212" s="224">
        <v>0</v>
      </c>
      <c r="O212" s="202"/>
    </row>
    <row r="213" spans="1:15" ht="18.75" customHeight="1">
      <c r="A213" s="209"/>
      <c r="B213" s="227" t="s">
        <v>610</v>
      </c>
      <c r="C213" s="224">
        <v>24292048</v>
      </c>
      <c r="D213" s="224">
        <v>6329309</v>
      </c>
      <c r="E213" s="225">
        <v>0</v>
      </c>
      <c r="F213" s="224">
        <v>0</v>
      </c>
      <c r="G213" s="224">
        <v>9180.35</v>
      </c>
      <c r="H213" s="224">
        <v>17962739</v>
      </c>
      <c r="I213" s="225">
        <v>0</v>
      </c>
      <c r="J213" s="224">
        <v>0</v>
      </c>
      <c r="K213" s="226">
        <v>0</v>
      </c>
      <c r="L213" s="224">
        <v>0</v>
      </c>
      <c r="M213" s="225">
        <v>0</v>
      </c>
      <c r="N213" s="224">
        <v>0</v>
      </c>
      <c r="O213" s="202"/>
    </row>
    <row r="214" spans="1:15" s="4" customFormat="1">
      <c r="A214" s="209">
        <v>203</v>
      </c>
      <c r="B214" s="228" t="s">
        <v>379</v>
      </c>
      <c r="C214" s="210">
        <v>2328466</v>
      </c>
      <c r="D214" s="210">
        <v>2328466</v>
      </c>
      <c r="E214" s="219">
        <v>0</v>
      </c>
      <c r="F214" s="210">
        <v>0</v>
      </c>
      <c r="G214" s="229">
        <v>0</v>
      </c>
      <c r="H214" s="210"/>
      <c r="I214" s="219">
        <v>0</v>
      </c>
      <c r="J214" s="210">
        <v>0</v>
      </c>
      <c r="K214" s="211">
        <v>0</v>
      </c>
      <c r="L214" s="220">
        <v>0</v>
      </c>
      <c r="M214" s="216">
        <v>0</v>
      </c>
      <c r="N214" s="202">
        <v>0</v>
      </c>
      <c r="O214" s="202"/>
    </row>
    <row r="215" spans="1:15" s="4" customFormat="1">
      <c r="A215" s="209">
        <v>204</v>
      </c>
      <c r="B215" s="228" t="s">
        <v>383</v>
      </c>
      <c r="C215" s="210">
        <v>1792229</v>
      </c>
      <c r="D215" s="210">
        <v>0</v>
      </c>
      <c r="E215" s="219">
        <v>0</v>
      </c>
      <c r="F215" s="210">
        <v>0</v>
      </c>
      <c r="G215" s="229">
        <v>895</v>
      </c>
      <c r="H215" s="210">
        <v>1792229</v>
      </c>
      <c r="I215" s="219">
        <v>0</v>
      </c>
      <c r="J215" s="210">
        <v>0</v>
      </c>
      <c r="K215" s="211">
        <v>0</v>
      </c>
      <c r="L215" s="220">
        <v>0</v>
      </c>
      <c r="M215" s="216">
        <v>0</v>
      </c>
      <c r="N215" s="202">
        <v>0</v>
      </c>
      <c r="O215" s="202"/>
    </row>
    <row r="216" spans="1:15" s="4" customFormat="1">
      <c r="A216" s="209">
        <v>205</v>
      </c>
      <c r="B216" s="228" t="s">
        <v>109</v>
      </c>
      <c r="C216" s="210">
        <v>1922412</v>
      </c>
      <c r="D216" s="210">
        <v>0</v>
      </c>
      <c r="E216" s="219">
        <v>0</v>
      </c>
      <c r="F216" s="210">
        <v>0</v>
      </c>
      <c r="G216" s="229">
        <v>983.5</v>
      </c>
      <c r="H216" s="210">
        <v>1922412</v>
      </c>
      <c r="I216" s="219">
        <v>0</v>
      </c>
      <c r="J216" s="210">
        <v>0</v>
      </c>
      <c r="K216" s="211">
        <v>0</v>
      </c>
      <c r="L216" s="220">
        <v>0</v>
      </c>
      <c r="M216" s="216">
        <v>0</v>
      </c>
      <c r="N216" s="202">
        <v>0</v>
      </c>
      <c r="O216" s="202"/>
    </row>
    <row r="217" spans="1:15" s="4" customFormat="1">
      <c r="A217" s="209">
        <v>206</v>
      </c>
      <c r="B217" s="228" t="s">
        <v>384</v>
      </c>
      <c r="C217" s="210">
        <v>1606151</v>
      </c>
      <c r="D217" s="210">
        <v>0</v>
      </c>
      <c r="E217" s="219">
        <v>0</v>
      </c>
      <c r="F217" s="210">
        <v>0</v>
      </c>
      <c r="G217" s="229">
        <v>813</v>
      </c>
      <c r="H217" s="210">
        <v>1606151</v>
      </c>
      <c r="I217" s="219">
        <v>0</v>
      </c>
      <c r="J217" s="210">
        <v>0</v>
      </c>
      <c r="K217" s="211">
        <v>0</v>
      </c>
      <c r="L217" s="220">
        <v>0</v>
      </c>
      <c r="M217" s="216">
        <v>0</v>
      </c>
      <c r="N217" s="202">
        <v>0</v>
      </c>
      <c r="O217" s="202"/>
    </row>
    <row r="218" spans="1:15" s="4" customFormat="1">
      <c r="A218" s="209">
        <v>207</v>
      </c>
      <c r="B218" s="228" t="s">
        <v>382</v>
      </c>
      <c r="C218" s="210">
        <v>3061942</v>
      </c>
      <c r="D218" s="210">
        <v>0</v>
      </c>
      <c r="E218" s="219">
        <v>0</v>
      </c>
      <c r="F218" s="210">
        <v>0</v>
      </c>
      <c r="G218" s="230">
        <v>1554.85</v>
      </c>
      <c r="H218" s="210">
        <v>3061942</v>
      </c>
      <c r="I218" s="219">
        <v>0</v>
      </c>
      <c r="J218" s="210">
        <v>0</v>
      </c>
      <c r="K218" s="211">
        <v>0</v>
      </c>
      <c r="L218" s="220">
        <v>0</v>
      </c>
      <c r="M218" s="216">
        <v>0</v>
      </c>
      <c r="N218" s="202">
        <v>0</v>
      </c>
      <c r="O218" s="202"/>
    </row>
    <row r="219" spans="1:15" s="4" customFormat="1">
      <c r="A219" s="209">
        <v>208</v>
      </c>
      <c r="B219" s="228" t="s">
        <v>122</v>
      </c>
      <c r="C219" s="210">
        <v>4000843</v>
      </c>
      <c r="D219" s="210">
        <v>4000843</v>
      </c>
      <c r="E219" s="219">
        <v>0</v>
      </c>
      <c r="F219" s="210">
        <v>0</v>
      </c>
      <c r="G219" s="229">
        <v>0</v>
      </c>
      <c r="H219" s="210">
        <v>0</v>
      </c>
      <c r="I219" s="219">
        <v>0</v>
      </c>
      <c r="J219" s="210">
        <v>0</v>
      </c>
      <c r="K219" s="211">
        <v>0</v>
      </c>
      <c r="L219" s="220">
        <v>0</v>
      </c>
      <c r="M219" s="216">
        <v>0</v>
      </c>
      <c r="N219" s="202">
        <v>0</v>
      </c>
      <c r="O219" s="202"/>
    </row>
    <row r="220" spans="1:15" s="4" customFormat="1">
      <c r="A220" s="209">
        <v>209</v>
      </c>
      <c r="B220" s="228" t="s">
        <v>380</v>
      </c>
      <c r="C220" s="210">
        <v>1122235</v>
      </c>
      <c r="D220" s="210">
        <v>0</v>
      </c>
      <c r="E220" s="219">
        <v>0</v>
      </c>
      <c r="F220" s="210">
        <v>0</v>
      </c>
      <c r="G220" s="229">
        <v>563</v>
      </c>
      <c r="H220" s="210">
        <v>1122235</v>
      </c>
      <c r="I220" s="219">
        <v>0</v>
      </c>
      <c r="J220" s="210">
        <v>0</v>
      </c>
      <c r="K220" s="211">
        <v>0</v>
      </c>
      <c r="L220" s="220">
        <v>0</v>
      </c>
      <c r="M220" s="216">
        <v>0</v>
      </c>
      <c r="N220" s="202">
        <v>0</v>
      </c>
      <c r="O220" s="202"/>
    </row>
    <row r="221" spans="1:15" s="4" customFormat="1">
      <c r="A221" s="209">
        <v>210</v>
      </c>
      <c r="B221" s="228" t="s">
        <v>381</v>
      </c>
      <c r="C221" s="210">
        <v>1073508</v>
      </c>
      <c r="D221" s="210">
        <v>0</v>
      </c>
      <c r="E221" s="219">
        <v>0</v>
      </c>
      <c r="F221" s="210">
        <v>0</v>
      </c>
      <c r="G221" s="229">
        <v>517</v>
      </c>
      <c r="H221" s="210">
        <v>1073508</v>
      </c>
      <c r="I221" s="219">
        <v>0</v>
      </c>
      <c r="J221" s="210">
        <v>0</v>
      </c>
      <c r="K221" s="211">
        <v>0</v>
      </c>
      <c r="L221" s="220">
        <v>0</v>
      </c>
      <c r="M221" s="216">
        <v>0</v>
      </c>
      <c r="N221" s="202">
        <v>0</v>
      </c>
      <c r="O221" s="202"/>
    </row>
    <row r="222" spans="1:15" s="4" customFormat="1">
      <c r="A222" s="209">
        <v>211</v>
      </c>
      <c r="B222" s="228" t="s">
        <v>376</v>
      </c>
      <c r="C222" s="210">
        <v>1675276</v>
      </c>
      <c r="D222" s="210">
        <v>0</v>
      </c>
      <c r="E222" s="219">
        <v>0</v>
      </c>
      <c r="F222" s="210">
        <v>0</v>
      </c>
      <c r="G222" s="210">
        <v>845</v>
      </c>
      <c r="H222" s="210">
        <v>1675276</v>
      </c>
      <c r="I222" s="219">
        <v>0</v>
      </c>
      <c r="J222" s="210">
        <v>0</v>
      </c>
      <c r="K222" s="211">
        <v>0</v>
      </c>
      <c r="L222" s="220">
        <v>0</v>
      </c>
      <c r="M222" s="216">
        <v>0</v>
      </c>
      <c r="N222" s="202">
        <v>0</v>
      </c>
      <c r="O222" s="202"/>
    </row>
    <row r="223" spans="1:15" s="4" customFormat="1">
      <c r="A223" s="209">
        <v>212</v>
      </c>
      <c r="B223" s="228" t="s">
        <v>377</v>
      </c>
      <c r="C223" s="210">
        <v>1898883</v>
      </c>
      <c r="D223" s="210">
        <v>0</v>
      </c>
      <c r="E223" s="219">
        <v>0</v>
      </c>
      <c r="F223" s="210">
        <v>0</v>
      </c>
      <c r="G223" s="229">
        <v>960</v>
      </c>
      <c r="H223" s="210">
        <v>1898883</v>
      </c>
      <c r="I223" s="219">
        <v>0</v>
      </c>
      <c r="J223" s="210">
        <v>0</v>
      </c>
      <c r="K223" s="211">
        <v>0</v>
      </c>
      <c r="L223" s="220">
        <v>0</v>
      </c>
      <c r="M223" s="216">
        <v>0</v>
      </c>
      <c r="N223" s="202">
        <v>0</v>
      </c>
      <c r="O223" s="202"/>
    </row>
    <row r="224" spans="1:15" s="4" customFormat="1">
      <c r="A224" s="209">
        <v>213</v>
      </c>
      <c r="B224" s="228" t="s">
        <v>375</v>
      </c>
      <c r="C224" s="210">
        <v>1875716</v>
      </c>
      <c r="D224" s="210">
        <v>0</v>
      </c>
      <c r="E224" s="219">
        <v>0</v>
      </c>
      <c r="F224" s="210">
        <v>0</v>
      </c>
      <c r="G224" s="229">
        <v>1040</v>
      </c>
      <c r="H224" s="210">
        <v>1875716</v>
      </c>
      <c r="I224" s="219">
        <v>0</v>
      </c>
      <c r="J224" s="210">
        <v>0</v>
      </c>
      <c r="K224" s="211">
        <v>0</v>
      </c>
      <c r="L224" s="220">
        <v>0</v>
      </c>
      <c r="M224" s="216">
        <v>0</v>
      </c>
      <c r="N224" s="202">
        <v>0</v>
      </c>
      <c r="O224" s="202"/>
    </row>
    <row r="225" spans="1:15" s="4" customFormat="1">
      <c r="A225" s="209">
        <v>214</v>
      </c>
      <c r="B225" s="228" t="s">
        <v>378</v>
      </c>
      <c r="C225" s="210">
        <v>1934387</v>
      </c>
      <c r="D225" s="210">
        <v>0</v>
      </c>
      <c r="E225" s="219">
        <v>0</v>
      </c>
      <c r="F225" s="210">
        <v>0</v>
      </c>
      <c r="G225" s="210">
        <v>1009</v>
      </c>
      <c r="H225" s="210">
        <v>1934387</v>
      </c>
      <c r="I225" s="219">
        <v>0</v>
      </c>
      <c r="J225" s="210">
        <v>0</v>
      </c>
      <c r="K225" s="211">
        <v>0</v>
      </c>
      <c r="L225" s="220">
        <v>0</v>
      </c>
      <c r="M225" s="216">
        <v>0</v>
      </c>
      <c r="N225" s="202">
        <v>0</v>
      </c>
      <c r="O225" s="202"/>
    </row>
    <row r="226" spans="1:15" ht="18.75" customHeight="1">
      <c r="A226" s="209"/>
      <c r="B226" s="206" t="s">
        <v>611</v>
      </c>
      <c r="C226" s="207">
        <v>10965596.940000001</v>
      </c>
      <c r="D226" s="221">
        <v>8681731.4800000004</v>
      </c>
      <c r="E226" s="231">
        <v>0</v>
      </c>
      <c r="F226" s="221">
        <v>0</v>
      </c>
      <c r="G226" s="221">
        <v>1601.8</v>
      </c>
      <c r="H226" s="221">
        <v>2283865.46</v>
      </c>
      <c r="I226" s="231">
        <v>0</v>
      </c>
      <c r="J226" s="221">
        <v>0</v>
      </c>
      <c r="K226" s="232">
        <v>0</v>
      </c>
      <c r="L226" s="221">
        <v>0</v>
      </c>
      <c r="M226" s="231">
        <v>0</v>
      </c>
      <c r="N226" s="221">
        <v>0</v>
      </c>
      <c r="O226" s="202"/>
    </row>
    <row r="227" spans="1:15">
      <c r="A227" s="209">
        <v>215</v>
      </c>
      <c r="B227" s="233" t="s">
        <v>392</v>
      </c>
      <c r="C227" s="207">
        <v>244245.95</v>
      </c>
      <c r="D227" s="221">
        <v>244245.95</v>
      </c>
      <c r="E227" s="234">
        <v>0</v>
      </c>
      <c r="F227" s="202">
        <v>0</v>
      </c>
      <c r="G227" s="202">
        <v>0</v>
      </c>
      <c r="H227" s="202">
        <v>0</v>
      </c>
      <c r="I227" s="234">
        <v>0</v>
      </c>
      <c r="J227" s="202">
        <v>0</v>
      </c>
      <c r="K227" s="235">
        <v>0</v>
      </c>
      <c r="L227" s="202">
        <v>0</v>
      </c>
      <c r="M227" s="234">
        <v>0</v>
      </c>
      <c r="N227" s="202">
        <v>0</v>
      </c>
      <c r="O227" s="202"/>
    </row>
    <row r="228" spans="1:15">
      <c r="A228" s="209">
        <v>216</v>
      </c>
      <c r="B228" s="233" t="s">
        <v>393</v>
      </c>
      <c r="C228" s="207">
        <v>1121244.45</v>
      </c>
      <c r="D228" s="221">
        <v>1121244.45</v>
      </c>
      <c r="E228" s="234">
        <v>0</v>
      </c>
      <c r="F228" s="202">
        <v>0</v>
      </c>
      <c r="G228" s="202">
        <v>0</v>
      </c>
      <c r="H228" s="202">
        <v>0</v>
      </c>
      <c r="I228" s="234">
        <v>0</v>
      </c>
      <c r="J228" s="202">
        <v>0</v>
      </c>
      <c r="K228" s="235">
        <v>0</v>
      </c>
      <c r="L228" s="202">
        <v>0</v>
      </c>
      <c r="M228" s="234">
        <v>0</v>
      </c>
      <c r="N228" s="202">
        <v>0</v>
      </c>
      <c r="O228" s="202"/>
    </row>
    <row r="229" spans="1:15">
      <c r="A229" s="209">
        <v>217</v>
      </c>
      <c r="B229" s="233" t="s">
        <v>386</v>
      </c>
      <c r="C229" s="207">
        <v>447569.67</v>
      </c>
      <c r="D229" s="207">
        <v>447569.67</v>
      </c>
      <c r="E229" s="234">
        <v>0</v>
      </c>
      <c r="F229" s="202">
        <v>0</v>
      </c>
      <c r="G229" s="202">
        <v>0</v>
      </c>
      <c r="H229" s="202">
        <v>0</v>
      </c>
      <c r="I229" s="234">
        <v>0</v>
      </c>
      <c r="J229" s="202">
        <v>0</v>
      </c>
      <c r="K229" s="235">
        <v>0</v>
      </c>
      <c r="L229" s="202">
        <v>0</v>
      </c>
      <c r="M229" s="234">
        <v>0</v>
      </c>
      <c r="N229" s="202">
        <v>0</v>
      </c>
      <c r="O229" s="202"/>
    </row>
    <row r="230" spans="1:15">
      <c r="A230" s="209">
        <v>218</v>
      </c>
      <c r="B230" s="233" t="s">
        <v>388</v>
      </c>
      <c r="C230" s="207">
        <v>447308.17</v>
      </c>
      <c r="D230" s="221">
        <v>447308.17</v>
      </c>
      <c r="E230" s="234">
        <v>0</v>
      </c>
      <c r="F230" s="202">
        <v>0</v>
      </c>
      <c r="G230" s="202">
        <v>0</v>
      </c>
      <c r="H230" s="202">
        <v>0</v>
      </c>
      <c r="I230" s="234">
        <v>0</v>
      </c>
      <c r="J230" s="202">
        <v>0</v>
      </c>
      <c r="K230" s="235">
        <v>0</v>
      </c>
      <c r="L230" s="202">
        <v>0</v>
      </c>
      <c r="M230" s="234">
        <v>0</v>
      </c>
      <c r="N230" s="202">
        <v>0</v>
      </c>
      <c r="O230" s="202"/>
    </row>
    <row r="231" spans="1:15">
      <c r="A231" s="209">
        <v>219</v>
      </c>
      <c r="B231" s="233" t="s">
        <v>385</v>
      </c>
      <c r="C231" s="207">
        <v>470537.19</v>
      </c>
      <c r="D231" s="207">
        <v>470537.19</v>
      </c>
      <c r="E231" s="234">
        <v>0</v>
      </c>
      <c r="F231" s="202">
        <v>0</v>
      </c>
      <c r="G231" s="202">
        <v>0</v>
      </c>
      <c r="H231" s="202">
        <v>0</v>
      </c>
      <c r="I231" s="234">
        <v>0</v>
      </c>
      <c r="J231" s="202">
        <v>0</v>
      </c>
      <c r="K231" s="235">
        <v>0</v>
      </c>
      <c r="L231" s="202">
        <v>0</v>
      </c>
      <c r="M231" s="234">
        <v>0</v>
      </c>
      <c r="N231" s="202">
        <v>0</v>
      </c>
      <c r="O231" s="202"/>
    </row>
    <row r="232" spans="1:15">
      <c r="A232" s="209">
        <v>220</v>
      </c>
      <c r="B232" s="233" t="s">
        <v>387</v>
      </c>
      <c r="C232" s="207">
        <v>970723.46</v>
      </c>
      <c r="D232" s="221">
        <v>0</v>
      </c>
      <c r="E232" s="234">
        <v>0</v>
      </c>
      <c r="F232" s="202">
        <v>0</v>
      </c>
      <c r="G232" s="202">
        <v>586.5</v>
      </c>
      <c r="H232" s="202">
        <v>970723.46</v>
      </c>
      <c r="I232" s="234">
        <v>0</v>
      </c>
      <c r="J232" s="202">
        <v>0</v>
      </c>
      <c r="K232" s="235">
        <v>0</v>
      </c>
      <c r="L232" s="202">
        <v>0</v>
      </c>
      <c r="M232" s="234">
        <v>0</v>
      </c>
      <c r="N232" s="202">
        <v>0</v>
      </c>
      <c r="O232" s="202"/>
    </row>
    <row r="233" spans="1:15">
      <c r="A233" s="209">
        <v>221</v>
      </c>
      <c r="B233" s="233" t="s">
        <v>43</v>
      </c>
      <c r="C233" s="207">
        <v>569767.76</v>
      </c>
      <c r="D233" s="207">
        <v>569767.76</v>
      </c>
      <c r="E233" s="234">
        <v>0</v>
      </c>
      <c r="F233" s="202">
        <v>0</v>
      </c>
      <c r="G233" s="202">
        <v>0</v>
      </c>
      <c r="H233" s="202">
        <v>0</v>
      </c>
      <c r="I233" s="234">
        <v>0</v>
      </c>
      <c r="J233" s="202">
        <v>0</v>
      </c>
      <c r="K233" s="235">
        <v>0</v>
      </c>
      <c r="L233" s="202">
        <v>0</v>
      </c>
      <c r="M233" s="234">
        <v>0</v>
      </c>
      <c r="N233" s="202">
        <v>0</v>
      </c>
      <c r="O233" s="202"/>
    </row>
    <row r="234" spans="1:15">
      <c r="A234" s="209">
        <v>222</v>
      </c>
      <c r="B234" s="233" t="s">
        <v>45</v>
      </c>
      <c r="C234" s="207">
        <v>1031206.19</v>
      </c>
      <c r="D234" s="207">
        <v>1031206.19</v>
      </c>
      <c r="E234" s="234">
        <v>0</v>
      </c>
      <c r="F234" s="202">
        <v>0</v>
      </c>
      <c r="G234" s="202">
        <v>0</v>
      </c>
      <c r="H234" s="202">
        <v>0</v>
      </c>
      <c r="I234" s="234">
        <v>0</v>
      </c>
      <c r="J234" s="202">
        <v>0</v>
      </c>
      <c r="K234" s="235">
        <v>0</v>
      </c>
      <c r="L234" s="202">
        <v>0</v>
      </c>
      <c r="M234" s="234">
        <v>0</v>
      </c>
      <c r="N234" s="202">
        <v>0</v>
      </c>
      <c r="O234" s="202"/>
    </row>
    <row r="235" spans="1:15">
      <c r="A235" s="209">
        <v>223</v>
      </c>
      <c r="B235" s="233" t="s">
        <v>389</v>
      </c>
      <c r="C235" s="207">
        <v>631582.19999999995</v>
      </c>
      <c r="D235" s="221">
        <v>631582.19999999995</v>
      </c>
      <c r="E235" s="234">
        <v>0</v>
      </c>
      <c r="F235" s="202">
        <v>0</v>
      </c>
      <c r="G235" s="202">
        <v>0</v>
      </c>
      <c r="H235" s="202">
        <v>0</v>
      </c>
      <c r="I235" s="234">
        <v>0</v>
      </c>
      <c r="J235" s="202">
        <v>0</v>
      </c>
      <c r="K235" s="235">
        <v>0</v>
      </c>
      <c r="L235" s="202">
        <v>0</v>
      </c>
      <c r="M235" s="234">
        <v>0</v>
      </c>
      <c r="N235" s="202">
        <v>0</v>
      </c>
      <c r="O235" s="202"/>
    </row>
    <row r="236" spans="1:15">
      <c r="A236" s="209">
        <v>224</v>
      </c>
      <c r="B236" s="233" t="s">
        <v>390</v>
      </c>
      <c r="C236" s="207">
        <v>470537.19</v>
      </c>
      <c r="D236" s="221">
        <v>470537.19</v>
      </c>
      <c r="E236" s="234">
        <v>0</v>
      </c>
      <c r="F236" s="202">
        <v>0</v>
      </c>
      <c r="G236" s="202">
        <v>0</v>
      </c>
      <c r="H236" s="202">
        <v>0</v>
      </c>
      <c r="I236" s="234">
        <v>0</v>
      </c>
      <c r="J236" s="202">
        <v>0</v>
      </c>
      <c r="K236" s="235">
        <v>0</v>
      </c>
      <c r="L236" s="202">
        <v>0</v>
      </c>
      <c r="M236" s="234">
        <v>0</v>
      </c>
      <c r="N236" s="202">
        <v>0</v>
      </c>
      <c r="O236" s="202"/>
    </row>
    <row r="237" spans="1:15">
      <c r="A237" s="209">
        <v>225</v>
      </c>
      <c r="B237" s="233" t="s">
        <v>391</v>
      </c>
      <c r="C237" s="207">
        <v>244245.95</v>
      </c>
      <c r="D237" s="221">
        <v>244245.95</v>
      </c>
      <c r="E237" s="234">
        <v>0</v>
      </c>
      <c r="F237" s="202">
        <v>0</v>
      </c>
      <c r="G237" s="202">
        <v>0</v>
      </c>
      <c r="H237" s="202">
        <v>0</v>
      </c>
      <c r="I237" s="234">
        <v>0</v>
      </c>
      <c r="J237" s="202">
        <v>0</v>
      </c>
      <c r="K237" s="235">
        <v>0</v>
      </c>
      <c r="L237" s="202">
        <v>0</v>
      </c>
      <c r="M237" s="234">
        <v>0</v>
      </c>
      <c r="N237" s="202">
        <v>0</v>
      </c>
      <c r="O237" s="202"/>
    </row>
    <row r="238" spans="1:15">
      <c r="A238" s="209">
        <v>226</v>
      </c>
      <c r="B238" s="233" t="s">
        <v>299</v>
      </c>
      <c r="C238" s="207">
        <v>470537.19</v>
      </c>
      <c r="D238" s="221">
        <v>470537.19</v>
      </c>
      <c r="E238" s="234">
        <v>0</v>
      </c>
      <c r="F238" s="202">
        <v>0</v>
      </c>
      <c r="G238" s="202">
        <v>0</v>
      </c>
      <c r="H238" s="202">
        <v>0</v>
      </c>
      <c r="I238" s="234">
        <v>0</v>
      </c>
      <c r="J238" s="202">
        <v>0</v>
      </c>
      <c r="K238" s="235">
        <v>0</v>
      </c>
      <c r="L238" s="202">
        <v>0</v>
      </c>
      <c r="M238" s="234">
        <v>0</v>
      </c>
      <c r="N238" s="202">
        <v>0</v>
      </c>
      <c r="O238" s="202"/>
    </row>
    <row r="239" spans="1:15">
      <c r="A239" s="209">
        <v>227</v>
      </c>
      <c r="B239" s="233" t="s">
        <v>394</v>
      </c>
      <c r="C239" s="207">
        <v>470537.19</v>
      </c>
      <c r="D239" s="221">
        <v>470537.19</v>
      </c>
      <c r="E239" s="234">
        <v>0</v>
      </c>
      <c r="F239" s="202">
        <v>0</v>
      </c>
      <c r="G239" s="202">
        <v>0</v>
      </c>
      <c r="H239" s="202">
        <v>0</v>
      </c>
      <c r="I239" s="234">
        <v>0</v>
      </c>
      <c r="J239" s="202">
        <v>0</v>
      </c>
      <c r="K239" s="235">
        <v>0</v>
      </c>
      <c r="L239" s="202">
        <v>0</v>
      </c>
      <c r="M239" s="234">
        <v>0</v>
      </c>
      <c r="N239" s="202">
        <v>0</v>
      </c>
      <c r="O239" s="202"/>
    </row>
    <row r="240" spans="1:15">
      <c r="A240" s="209">
        <v>228</v>
      </c>
      <c r="B240" s="233" t="s">
        <v>395</v>
      </c>
      <c r="C240" s="207">
        <v>1313142</v>
      </c>
      <c r="D240" s="221">
        <v>0</v>
      </c>
      <c r="E240" s="234">
        <v>0</v>
      </c>
      <c r="F240" s="202">
        <v>0</v>
      </c>
      <c r="G240" s="221">
        <v>1015.3</v>
      </c>
      <c r="H240" s="221">
        <v>1313142</v>
      </c>
      <c r="I240" s="234">
        <v>0</v>
      </c>
      <c r="J240" s="202">
        <v>0</v>
      </c>
      <c r="K240" s="235">
        <v>0</v>
      </c>
      <c r="L240" s="202">
        <v>0</v>
      </c>
      <c r="M240" s="234">
        <v>0</v>
      </c>
      <c r="N240" s="202">
        <v>0</v>
      </c>
      <c r="O240" s="202"/>
    </row>
    <row r="241" spans="1:15">
      <c r="A241" s="209">
        <v>229</v>
      </c>
      <c r="B241" s="233" t="s">
        <v>396</v>
      </c>
      <c r="C241" s="207">
        <v>1031206.19</v>
      </c>
      <c r="D241" s="221">
        <v>1031206.19</v>
      </c>
      <c r="E241" s="234">
        <v>0</v>
      </c>
      <c r="F241" s="202">
        <v>0</v>
      </c>
      <c r="G241" s="221">
        <v>0</v>
      </c>
      <c r="H241" s="221">
        <v>0</v>
      </c>
      <c r="I241" s="234">
        <v>0</v>
      </c>
      <c r="J241" s="202">
        <v>0</v>
      </c>
      <c r="K241" s="235">
        <v>0</v>
      </c>
      <c r="L241" s="202">
        <v>0</v>
      </c>
      <c r="M241" s="234">
        <v>0</v>
      </c>
      <c r="N241" s="202">
        <v>0</v>
      </c>
      <c r="O241" s="202"/>
    </row>
    <row r="242" spans="1:15">
      <c r="A242" s="209">
        <v>230</v>
      </c>
      <c r="B242" s="233" t="s">
        <v>47</v>
      </c>
      <c r="C242" s="207">
        <v>1031206.19</v>
      </c>
      <c r="D242" s="221">
        <v>1031206.19</v>
      </c>
      <c r="E242" s="234">
        <v>0</v>
      </c>
      <c r="F242" s="202">
        <v>0</v>
      </c>
      <c r="G242" s="221">
        <v>0</v>
      </c>
      <c r="H242" s="221">
        <v>0</v>
      </c>
      <c r="I242" s="234">
        <v>0</v>
      </c>
      <c r="J242" s="202">
        <v>0</v>
      </c>
      <c r="K242" s="235">
        <v>0</v>
      </c>
      <c r="L242" s="202">
        <v>0</v>
      </c>
      <c r="M242" s="234">
        <v>0</v>
      </c>
      <c r="N242" s="202">
        <v>0</v>
      </c>
      <c r="O242" s="202"/>
    </row>
    <row r="243" spans="1:15" ht="18.75" customHeight="1">
      <c r="A243" s="209"/>
      <c r="B243" s="227" t="s">
        <v>98</v>
      </c>
      <c r="C243" s="207">
        <v>7226531</v>
      </c>
      <c r="D243" s="207">
        <v>0</v>
      </c>
      <c r="E243" s="215">
        <v>0</v>
      </c>
      <c r="F243" s="207">
        <v>0</v>
      </c>
      <c r="G243" s="207">
        <v>3605</v>
      </c>
      <c r="H243" s="207">
        <v>7226531</v>
      </c>
      <c r="I243" s="215">
        <v>0</v>
      </c>
      <c r="J243" s="207">
        <v>0</v>
      </c>
      <c r="K243" s="208">
        <v>0</v>
      </c>
      <c r="L243" s="207">
        <v>0</v>
      </c>
      <c r="M243" s="215">
        <v>0</v>
      </c>
      <c r="N243" s="207">
        <v>0</v>
      </c>
      <c r="O243" s="202"/>
    </row>
    <row r="244" spans="1:15" ht="30.75" customHeight="1">
      <c r="A244" s="209"/>
      <c r="B244" s="227" t="s">
        <v>606</v>
      </c>
      <c r="C244" s="207">
        <v>7226531</v>
      </c>
      <c r="D244" s="207">
        <v>0</v>
      </c>
      <c r="E244" s="215">
        <v>0</v>
      </c>
      <c r="F244" s="207">
        <v>0</v>
      </c>
      <c r="G244" s="207">
        <v>3605</v>
      </c>
      <c r="H244" s="207">
        <v>7226531</v>
      </c>
      <c r="I244" s="215">
        <v>0</v>
      </c>
      <c r="J244" s="207">
        <v>0</v>
      </c>
      <c r="K244" s="208">
        <v>0</v>
      </c>
      <c r="L244" s="207">
        <v>0</v>
      </c>
      <c r="M244" s="215">
        <v>0</v>
      </c>
      <c r="N244" s="207">
        <v>0</v>
      </c>
      <c r="O244" s="202"/>
    </row>
    <row r="245" spans="1:15">
      <c r="A245" s="209">
        <v>231</v>
      </c>
      <c r="B245" s="227" t="s">
        <v>401</v>
      </c>
      <c r="C245" s="207">
        <v>1100349</v>
      </c>
      <c r="D245" s="207">
        <v>0</v>
      </c>
      <c r="E245" s="215">
        <v>0</v>
      </c>
      <c r="F245" s="222">
        <v>0</v>
      </c>
      <c r="G245" s="210">
        <v>550</v>
      </c>
      <c r="H245" s="207">
        <v>1100349</v>
      </c>
      <c r="I245" s="215">
        <v>0</v>
      </c>
      <c r="J245" s="207">
        <v>0</v>
      </c>
      <c r="K245" s="208">
        <v>0</v>
      </c>
      <c r="L245" s="222">
        <v>0</v>
      </c>
      <c r="M245" s="215">
        <v>0</v>
      </c>
      <c r="N245" s="222">
        <v>0</v>
      </c>
      <c r="O245" s="202"/>
    </row>
    <row r="246" spans="1:15">
      <c r="A246" s="209">
        <v>232</v>
      </c>
      <c r="B246" s="227" t="s">
        <v>402</v>
      </c>
      <c r="C246" s="207">
        <v>905336</v>
      </c>
      <c r="D246" s="207">
        <v>0</v>
      </c>
      <c r="E246" s="215">
        <v>0</v>
      </c>
      <c r="F246" s="222">
        <v>0</v>
      </c>
      <c r="G246" s="210">
        <v>450</v>
      </c>
      <c r="H246" s="207">
        <v>905336</v>
      </c>
      <c r="I246" s="215">
        <v>0</v>
      </c>
      <c r="J246" s="207">
        <v>0</v>
      </c>
      <c r="K246" s="208">
        <v>0</v>
      </c>
      <c r="L246" s="222">
        <v>0</v>
      </c>
      <c r="M246" s="215">
        <v>0</v>
      </c>
      <c r="N246" s="222">
        <v>0</v>
      </c>
      <c r="O246" s="202"/>
    </row>
    <row r="247" spans="1:15">
      <c r="A247" s="209">
        <v>233</v>
      </c>
      <c r="B247" s="227" t="s">
        <v>397</v>
      </c>
      <c r="C247" s="207">
        <v>1658131</v>
      </c>
      <c r="D247" s="207">
        <v>0</v>
      </c>
      <c r="E247" s="215">
        <v>0</v>
      </c>
      <c r="F247" s="222">
        <v>0</v>
      </c>
      <c r="G247" s="210">
        <v>835</v>
      </c>
      <c r="H247" s="207">
        <v>1658131</v>
      </c>
      <c r="I247" s="215">
        <v>0</v>
      </c>
      <c r="J247" s="207">
        <v>0</v>
      </c>
      <c r="K247" s="208">
        <v>0</v>
      </c>
      <c r="L247" s="222">
        <v>0</v>
      </c>
      <c r="M247" s="215">
        <v>0</v>
      </c>
      <c r="N247" s="222">
        <v>0</v>
      </c>
      <c r="O247" s="202"/>
    </row>
    <row r="248" spans="1:15">
      <c r="A248" s="209">
        <v>234</v>
      </c>
      <c r="B248" s="227" t="s">
        <v>559</v>
      </c>
      <c r="C248" s="207">
        <v>1276602</v>
      </c>
      <c r="D248" s="207">
        <v>0</v>
      </c>
      <c r="E248" s="215">
        <v>0</v>
      </c>
      <c r="F248" s="222">
        <v>0</v>
      </c>
      <c r="G248" s="210">
        <v>640</v>
      </c>
      <c r="H248" s="207">
        <v>1276602</v>
      </c>
      <c r="I248" s="215">
        <v>0</v>
      </c>
      <c r="J248" s="207">
        <v>0</v>
      </c>
      <c r="K248" s="208">
        <v>0</v>
      </c>
      <c r="L248" s="222">
        <v>0</v>
      </c>
      <c r="M248" s="215">
        <v>0</v>
      </c>
      <c r="N248" s="222">
        <v>0</v>
      </c>
      <c r="O248" s="202"/>
    </row>
    <row r="249" spans="1:15">
      <c r="A249" s="209">
        <v>235</v>
      </c>
      <c r="B249" s="227" t="s">
        <v>398</v>
      </c>
      <c r="C249" s="207">
        <v>768485</v>
      </c>
      <c r="D249" s="207">
        <v>0</v>
      </c>
      <c r="E249" s="215">
        <v>0</v>
      </c>
      <c r="F249" s="222">
        <v>0</v>
      </c>
      <c r="G249" s="210">
        <v>380</v>
      </c>
      <c r="H249" s="207">
        <v>768485</v>
      </c>
      <c r="I249" s="215">
        <v>0</v>
      </c>
      <c r="J249" s="207">
        <v>0</v>
      </c>
      <c r="K249" s="208">
        <v>0</v>
      </c>
      <c r="L249" s="222">
        <v>0</v>
      </c>
      <c r="M249" s="215">
        <v>0</v>
      </c>
      <c r="N249" s="222">
        <v>0</v>
      </c>
      <c r="O249" s="202"/>
    </row>
    <row r="250" spans="1:15">
      <c r="A250" s="209">
        <v>236</v>
      </c>
      <c r="B250" s="227" t="s">
        <v>400</v>
      </c>
      <c r="C250" s="207">
        <v>807776</v>
      </c>
      <c r="D250" s="207">
        <v>0</v>
      </c>
      <c r="E250" s="215">
        <v>0</v>
      </c>
      <c r="F250" s="222">
        <v>0</v>
      </c>
      <c r="G250" s="210">
        <v>400</v>
      </c>
      <c r="H250" s="207">
        <v>807776</v>
      </c>
      <c r="I250" s="215">
        <v>0</v>
      </c>
      <c r="J250" s="207">
        <v>0</v>
      </c>
      <c r="K250" s="208">
        <v>0</v>
      </c>
      <c r="L250" s="222">
        <v>0</v>
      </c>
      <c r="M250" s="215">
        <v>0</v>
      </c>
      <c r="N250" s="222">
        <v>0</v>
      </c>
      <c r="O250" s="202"/>
    </row>
    <row r="251" spans="1:15">
      <c r="A251" s="209">
        <v>237</v>
      </c>
      <c r="B251" s="227" t="s">
        <v>399</v>
      </c>
      <c r="C251" s="207">
        <v>709852</v>
      </c>
      <c r="D251" s="207">
        <v>0</v>
      </c>
      <c r="E251" s="215">
        <v>0</v>
      </c>
      <c r="F251" s="222">
        <v>0</v>
      </c>
      <c r="G251" s="210">
        <v>350</v>
      </c>
      <c r="H251" s="207">
        <v>709852</v>
      </c>
      <c r="I251" s="215">
        <v>0</v>
      </c>
      <c r="J251" s="207">
        <v>0</v>
      </c>
      <c r="K251" s="208">
        <v>0</v>
      </c>
      <c r="L251" s="222">
        <v>0</v>
      </c>
      <c r="M251" s="215">
        <v>0</v>
      </c>
      <c r="N251" s="222">
        <v>0</v>
      </c>
      <c r="O251" s="202"/>
    </row>
    <row r="252" spans="1:15">
      <c r="A252" s="209"/>
      <c r="B252" s="236" t="s">
        <v>41</v>
      </c>
      <c r="C252" s="202">
        <v>12161074</v>
      </c>
      <c r="D252" s="202">
        <v>297717</v>
      </c>
      <c r="E252" s="216">
        <v>3</v>
      </c>
      <c r="F252" s="202">
        <v>5600526</v>
      </c>
      <c r="G252" s="202">
        <v>3129</v>
      </c>
      <c r="H252" s="202">
        <v>6262831</v>
      </c>
      <c r="I252" s="216">
        <v>0</v>
      </c>
      <c r="J252" s="202">
        <v>0</v>
      </c>
      <c r="K252" s="203">
        <v>0</v>
      </c>
      <c r="L252" s="202">
        <v>0</v>
      </c>
      <c r="M252" s="216">
        <v>0</v>
      </c>
      <c r="N252" s="202">
        <v>0</v>
      </c>
      <c r="O252" s="202"/>
    </row>
    <row r="253" spans="1:15" ht="30">
      <c r="A253" s="209"/>
      <c r="B253" s="206" t="s">
        <v>612</v>
      </c>
      <c r="C253" s="207">
        <v>12161074</v>
      </c>
      <c r="D253" s="207">
        <v>297717</v>
      </c>
      <c r="E253" s="215">
        <v>3</v>
      </c>
      <c r="F253" s="207">
        <v>5600526</v>
      </c>
      <c r="G253" s="207">
        <v>3129</v>
      </c>
      <c r="H253" s="207">
        <v>6262831</v>
      </c>
      <c r="I253" s="208">
        <v>0</v>
      </c>
      <c r="J253" s="207">
        <v>0</v>
      </c>
      <c r="K253" s="208">
        <v>0</v>
      </c>
      <c r="L253" s="207">
        <v>0</v>
      </c>
      <c r="M253" s="208">
        <v>0</v>
      </c>
      <c r="N253" s="207">
        <v>0</v>
      </c>
      <c r="O253" s="202"/>
    </row>
    <row r="254" spans="1:15">
      <c r="A254" s="209">
        <v>238</v>
      </c>
      <c r="B254" s="206" t="s">
        <v>560</v>
      </c>
      <c r="C254" s="207">
        <v>3236918</v>
      </c>
      <c r="D254" s="207">
        <v>0</v>
      </c>
      <c r="E254" s="215">
        <v>0</v>
      </c>
      <c r="F254" s="210">
        <v>0</v>
      </c>
      <c r="G254" s="210">
        <v>1628</v>
      </c>
      <c r="H254" s="207">
        <v>3236918</v>
      </c>
      <c r="I254" s="203">
        <v>0</v>
      </c>
      <c r="J254" s="202">
        <v>0</v>
      </c>
      <c r="K254" s="203">
        <v>0</v>
      </c>
      <c r="L254" s="202">
        <v>0</v>
      </c>
      <c r="M254" s="216">
        <v>0</v>
      </c>
      <c r="N254" s="202">
        <v>0</v>
      </c>
      <c r="O254" s="202"/>
    </row>
    <row r="255" spans="1:15">
      <c r="A255" s="209">
        <v>239</v>
      </c>
      <c r="B255" s="206" t="s">
        <v>405</v>
      </c>
      <c r="C255" s="207">
        <v>1317247</v>
      </c>
      <c r="D255" s="207">
        <v>0</v>
      </c>
      <c r="E255" s="215">
        <v>0</v>
      </c>
      <c r="F255" s="210">
        <v>0</v>
      </c>
      <c r="G255" s="210">
        <v>659</v>
      </c>
      <c r="H255" s="207">
        <v>1317247</v>
      </c>
      <c r="I255" s="203">
        <v>0</v>
      </c>
      <c r="J255" s="202">
        <v>0</v>
      </c>
      <c r="K255" s="203">
        <v>0</v>
      </c>
      <c r="L255" s="202">
        <v>0</v>
      </c>
      <c r="M255" s="216">
        <v>0</v>
      </c>
      <c r="N255" s="202">
        <v>0</v>
      </c>
      <c r="O255" s="202"/>
    </row>
    <row r="256" spans="1:15">
      <c r="A256" s="209">
        <v>240</v>
      </c>
      <c r="B256" s="237" t="s">
        <v>404</v>
      </c>
      <c r="C256" s="207">
        <v>1708666</v>
      </c>
      <c r="D256" s="207">
        <v>0</v>
      </c>
      <c r="E256" s="215">
        <v>0</v>
      </c>
      <c r="F256" s="210">
        <v>0</v>
      </c>
      <c r="G256" s="210">
        <v>842</v>
      </c>
      <c r="H256" s="207">
        <v>1708666</v>
      </c>
      <c r="I256" s="203">
        <v>0</v>
      </c>
      <c r="J256" s="202">
        <v>0</v>
      </c>
      <c r="K256" s="203">
        <v>0</v>
      </c>
      <c r="L256" s="202">
        <v>0</v>
      </c>
      <c r="M256" s="216">
        <v>0</v>
      </c>
      <c r="N256" s="202">
        <v>0</v>
      </c>
      <c r="O256" s="202"/>
    </row>
    <row r="257" spans="1:15">
      <c r="A257" s="209">
        <v>241</v>
      </c>
      <c r="B257" s="237" t="s">
        <v>403</v>
      </c>
      <c r="C257" s="207">
        <v>5600526</v>
      </c>
      <c r="D257" s="207">
        <v>0</v>
      </c>
      <c r="E257" s="215">
        <v>3</v>
      </c>
      <c r="F257" s="210">
        <v>5600526</v>
      </c>
      <c r="G257" s="202">
        <v>0</v>
      </c>
      <c r="H257" s="202">
        <v>0</v>
      </c>
      <c r="I257" s="203">
        <v>0</v>
      </c>
      <c r="J257" s="202">
        <v>0</v>
      </c>
      <c r="K257" s="203">
        <v>0</v>
      </c>
      <c r="L257" s="202">
        <v>0</v>
      </c>
      <c r="M257" s="216">
        <v>0</v>
      </c>
      <c r="N257" s="202">
        <v>0</v>
      </c>
      <c r="O257" s="202"/>
    </row>
    <row r="258" spans="1:15">
      <c r="A258" s="209">
        <v>242</v>
      </c>
      <c r="B258" s="206" t="s">
        <v>406</v>
      </c>
      <c r="C258" s="207">
        <v>297717</v>
      </c>
      <c r="D258" s="207">
        <v>297717</v>
      </c>
      <c r="E258" s="215">
        <v>0</v>
      </c>
      <c r="F258" s="210">
        <v>0</v>
      </c>
      <c r="G258" s="210">
        <v>0</v>
      </c>
      <c r="H258" s="207">
        <v>0</v>
      </c>
      <c r="I258" s="203">
        <v>0</v>
      </c>
      <c r="J258" s="224">
        <v>0</v>
      </c>
      <c r="K258" s="226">
        <v>0</v>
      </c>
      <c r="L258" s="224">
        <v>0</v>
      </c>
      <c r="M258" s="225">
        <v>0</v>
      </c>
      <c r="N258" s="224">
        <v>0</v>
      </c>
      <c r="O258" s="202"/>
    </row>
    <row r="259" spans="1:15">
      <c r="A259" s="209"/>
      <c r="B259" s="237" t="s">
        <v>72</v>
      </c>
      <c r="C259" s="207">
        <v>859774</v>
      </c>
      <c r="D259" s="207">
        <v>0</v>
      </c>
      <c r="E259" s="215">
        <v>0</v>
      </c>
      <c r="F259" s="207">
        <v>0</v>
      </c>
      <c r="G259" s="207">
        <v>427</v>
      </c>
      <c r="H259" s="207">
        <v>859774</v>
      </c>
      <c r="I259" s="208">
        <v>0</v>
      </c>
      <c r="J259" s="207">
        <v>0</v>
      </c>
      <c r="K259" s="208">
        <v>0</v>
      </c>
      <c r="L259" s="207">
        <v>0</v>
      </c>
      <c r="M259" s="215">
        <v>0</v>
      </c>
      <c r="N259" s="207">
        <v>0</v>
      </c>
      <c r="O259" s="202"/>
    </row>
    <row r="260" spans="1:15" ht="30">
      <c r="A260" s="209"/>
      <c r="B260" s="206" t="s">
        <v>613</v>
      </c>
      <c r="C260" s="207">
        <v>859774</v>
      </c>
      <c r="D260" s="207">
        <v>0</v>
      </c>
      <c r="E260" s="215">
        <v>0</v>
      </c>
      <c r="F260" s="207">
        <v>0</v>
      </c>
      <c r="G260" s="207">
        <v>427</v>
      </c>
      <c r="H260" s="207">
        <v>859774</v>
      </c>
      <c r="I260" s="208">
        <v>0</v>
      </c>
      <c r="J260" s="207">
        <v>0</v>
      </c>
      <c r="K260" s="208">
        <v>0</v>
      </c>
      <c r="L260" s="207">
        <v>0</v>
      </c>
      <c r="M260" s="215">
        <v>0</v>
      </c>
      <c r="N260" s="207">
        <v>0</v>
      </c>
      <c r="O260" s="202"/>
    </row>
    <row r="261" spans="1:15">
      <c r="A261" s="209">
        <v>243</v>
      </c>
      <c r="B261" s="233" t="s">
        <v>407</v>
      </c>
      <c r="C261" s="224">
        <v>859774</v>
      </c>
      <c r="D261" s="224">
        <v>0</v>
      </c>
      <c r="E261" s="225">
        <v>0</v>
      </c>
      <c r="F261" s="224">
        <v>0</v>
      </c>
      <c r="G261" s="224">
        <v>427</v>
      </c>
      <c r="H261" s="224">
        <v>859774</v>
      </c>
      <c r="I261" s="226">
        <v>0</v>
      </c>
      <c r="J261" s="224">
        <v>0</v>
      </c>
      <c r="K261" s="226">
        <v>0</v>
      </c>
      <c r="L261" s="224">
        <v>0</v>
      </c>
      <c r="M261" s="225">
        <v>0</v>
      </c>
      <c r="N261" s="224">
        <v>0</v>
      </c>
      <c r="O261" s="202"/>
    </row>
    <row r="262" spans="1:15" s="17" customFormat="1">
      <c r="A262" s="209"/>
      <c r="B262" s="233" t="s">
        <v>48</v>
      </c>
      <c r="C262" s="224">
        <v>23032470</v>
      </c>
      <c r="D262" s="224">
        <v>0</v>
      </c>
      <c r="E262" s="226">
        <v>0</v>
      </c>
      <c r="F262" s="224">
        <v>0</v>
      </c>
      <c r="G262" s="224">
        <v>11598.699999999999</v>
      </c>
      <c r="H262" s="224">
        <v>23032470</v>
      </c>
      <c r="I262" s="226">
        <v>0</v>
      </c>
      <c r="J262" s="224">
        <v>0</v>
      </c>
      <c r="K262" s="226">
        <v>0</v>
      </c>
      <c r="L262" s="224">
        <v>0</v>
      </c>
      <c r="M262" s="226">
        <v>0</v>
      </c>
      <c r="N262" s="224">
        <v>0</v>
      </c>
      <c r="O262" s="202"/>
    </row>
    <row r="263" spans="1:15" ht="30">
      <c r="A263" s="209"/>
      <c r="B263" s="227" t="s">
        <v>662</v>
      </c>
      <c r="C263" s="224">
        <v>20696312</v>
      </c>
      <c r="D263" s="224">
        <v>0</v>
      </c>
      <c r="E263" s="225">
        <v>0</v>
      </c>
      <c r="F263" s="224">
        <v>0</v>
      </c>
      <c r="G263" s="224">
        <v>10402.699999999999</v>
      </c>
      <c r="H263" s="224">
        <v>20696312</v>
      </c>
      <c r="I263" s="226">
        <v>0</v>
      </c>
      <c r="J263" s="224">
        <v>0</v>
      </c>
      <c r="K263" s="226">
        <v>0</v>
      </c>
      <c r="L263" s="224">
        <v>0</v>
      </c>
      <c r="M263" s="225">
        <v>0</v>
      </c>
      <c r="N263" s="224">
        <v>0</v>
      </c>
      <c r="O263" s="202"/>
    </row>
    <row r="264" spans="1:15" s="42" customFormat="1">
      <c r="A264" s="209">
        <v>244</v>
      </c>
      <c r="B264" s="238" t="s">
        <v>420</v>
      </c>
      <c r="C264" s="239">
        <v>2301804</v>
      </c>
      <c r="D264" s="240">
        <v>0</v>
      </c>
      <c r="E264" s="241">
        <v>0</v>
      </c>
      <c r="F264" s="240">
        <v>0</v>
      </c>
      <c r="G264" s="242">
        <v>1167</v>
      </c>
      <c r="H264" s="243">
        <v>2301804</v>
      </c>
      <c r="I264" s="244">
        <v>0</v>
      </c>
      <c r="J264" s="240">
        <v>0</v>
      </c>
      <c r="K264" s="244">
        <v>0</v>
      </c>
      <c r="L264" s="240">
        <v>0</v>
      </c>
      <c r="M264" s="245">
        <v>0</v>
      </c>
      <c r="N264" s="240">
        <v>0</v>
      </c>
      <c r="O264" s="202"/>
    </row>
    <row r="265" spans="1:15" s="72" customFormat="1">
      <c r="A265" s="209">
        <v>245</v>
      </c>
      <c r="B265" s="238" t="s">
        <v>408</v>
      </c>
      <c r="C265" s="239">
        <v>1743478</v>
      </c>
      <c r="D265" s="246">
        <v>0</v>
      </c>
      <c r="E265" s="219">
        <v>0</v>
      </c>
      <c r="F265" s="246">
        <v>0</v>
      </c>
      <c r="G265" s="247">
        <v>880</v>
      </c>
      <c r="H265" s="243">
        <v>1743478</v>
      </c>
      <c r="I265" s="244">
        <v>0</v>
      </c>
      <c r="J265" s="240">
        <v>0</v>
      </c>
      <c r="K265" s="244">
        <v>0</v>
      </c>
      <c r="L265" s="240">
        <v>0</v>
      </c>
      <c r="M265" s="245">
        <v>0</v>
      </c>
      <c r="N265" s="240">
        <v>0</v>
      </c>
      <c r="O265" s="202"/>
    </row>
    <row r="266" spans="1:15" s="72" customFormat="1">
      <c r="A266" s="209">
        <v>246</v>
      </c>
      <c r="B266" s="238" t="s">
        <v>421</v>
      </c>
      <c r="C266" s="239">
        <v>2485001</v>
      </c>
      <c r="D266" s="240">
        <v>0</v>
      </c>
      <c r="E266" s="241">
        <v>0</v>
      </c>
      <c r="F266" s="240">
        <v>0</v>
      </c>
      <c r="G266" s="248">
        <v>1268.4000000000001</v>
      </c>
      <c r="H266" s="243">
        <v>2485001</v>
      </c>
      <c r="I266" s="244">
        <v>0</v>
      </c>
      <c r="J266" s="240">
        <v>0</v>
      </c>
      <c r="K266" s="244">
        <v>0</v>
      </c>
      <c r="L266" s="240">
        <v>0</v>
      </c>
      <c r="M266" s="245">
        <v>0</v>
      </c>
      <c r="N266" s="240">
        <v>0</v>
      </c>
      <c r="O266" s="202"/>
    </row>
    <row r="267" spans="1:15" s="42" customFormat="1">
      <c r="A267" s="209">
        <v>247</v>
      </c>
      <c r="B267" s="238" t="s">
        <v>417</v>
      </c>
      <c r="C267" s="239">
        <v>1237591</v>
      </c>
      <c r="D267" s="240">
        <v>0</v>
      </c>
      <c r="E267" s="241">
        <v>0</v>
      </c>
      <c r="F267" s="240">
        <v>0</v>
      </c>
      <c r="G267" s="242">
        <v>620</v>
      </c>
      <c r="H267" s="243">
        <v>1237591</v>
      </c>
      <c r="I267" s="244">
        <v>0</v>
      </c>
      <c r="J267" s="240">
        <v>0</v>
      </c>
      <c r="K267" s="244">
        <v>0</v>
      </c>
      <c r="L267" s="240">
        <v>0</v>
      </c>
      <c r="M267" s="245">
        <v>0</v>
      </c>
      <c r="N267" s="240">
        <v>0</v>
      </c>
      <c r="O267" s="202"/>
    </row>
    <row r="268" spans="1:15" s="39" customFormat="1">
      <c r="A268" s="209">
        <v>248</v>
      </c>
      <c r="B268" s="238" t="s">
        <v>412</v>
      </c>
      <c r="C268" s="239">
        <v>1448078</v>
      </c>
      <c r="D268" s="240">
        <v>0</v>
      </c>
      <c r="E268" s="241">
        <v>0</v>
      </c>
      <c r="F268" s="240">
        <v>0</v>
      </c>
      <c r="G268" s="248">
        <v>729</v>
      </c>
      <c r="H268" s="243">
        <v>1448078</v>
      </c>
      <c r="I268" s="244">
        <v>0</v>
      </c>
      <c r="J268" s="240">
        <v>0</v>
      </c>
      <c r="K268" s="244">
        <v>0</v>
      </c>
      <c r="L268" s="240">
        <v>0</v>
      </c>
      <c r="M268" s="245">
        <v>0</v>
      </c>
      <c r="N268" s="240">
        <v>0</v>
      </c>
      <c r="O268" s="202"/>
    </row>
    <row r="269" spans="1:15" s="42" customFormat="1">
      <c r="A269" s="209">
        <v>249</v>
      </c>
      <c r="B269" s="238" t="s">
        <v>413</v>
      </c>
      <c r="C269" s="239">
        <v>1963797</v>
      </c>
      <c r="D269" s="240">
        <v>0</v>
      </c>
      <c r="E269" s="241">
        <v>0</v>
      </c>
      <c r="F269" s="240">
        <v>0</v>
      </c>
      <c r="G269" s="242">
        <v>991.4</v>
      </c>
      <c r="H269" s="243">
        <v>1963797</v>
      </c>
      <c r="I269" s="244">
        <v>0</v>
      </c>
      <c r="J269" s="240">
        <v>0</v>
      </c>
      <c r="K269" s="244">
        <v>0</v>
      </c>
      <c r="L269" s="240">
        <v>0</v>
      </c>
      <c r="M269" s="245">
        <v>0</v>
      </c>
      <c r="N269" s="240">
        <v>0</v>
      </c>
      <c r="O269" s="202"/>
    </row>
    <row r="270" spans="1:15" s="42" customFormat="1">
      <c r="A270" s="209">
        <v>250</v>
      </c>
      <c r="B270" s="238" t="s">
        <v>414</v>
      </c>
      <c r="C270" s="239">
        <v>2119530</v>
      </c>
      <c r="D270" s="240">
        <v>0</v>
      </c>
      <c r="E270" s="241">
        <v>0</v>
      </c>
      <c r="F270" s="240">
        <v>0</v>
      </c>
      <c r="G270" s="242">
        <v>1054.5</v>
      </c>
      <c r="H270" s="243">
        <v>2119530</v>
      </c>
      <c r="I270" s="244">
        <v>0</v>
      </c>
      <c r="J270" s="240">
        <v>0</v>
      </c>
      <c r="K270" s="244">
        <v>0</v>
      </c>
      <c r="L270" s="240">
        <v>0</v>
      </c>
      <c r="M270" s="245">
        <v>0</v>
      </c>
      <c r="N270" s="240">
        <v>0</v>
      </c>
      <c r="O270" s="202"/>
    </row>
    <row r="271" spans="1:15" s="42" customFormat="1">
      <c r="A271" s="209">
        <v>251</v>
      </c>
      <c r="B271" s="238" t="s">
        <v>418</v>
      </c>
      <c r="C271" s="239">
        <v>1098163</v>
      </c>
      <c r="D271" s="240">
        <v>0</v>
      </c>
      <c r="E271" s="241">
        <v>0</v>
      </c>
      <c r="F271" s="240">
        <v>0</v>
      </c>
      <c r="G271" s="242">
        <v>548</v>
      </c>
      <c r="H271" s="243">
        <v>1098163</v>
      </c>
      <c r="I271" s="244">
        <v>0</v>
      </c>
      <c r="J271" s="240">
        <v>0</v>
      </c>
      <c r="K271" s="244">
        <v>0</v>
      </c>
      <c r="L271" s="240">
        <v>0</v>
      </c>
      <c r="M271" s="245">
        <v>0</v>
      </c>
      <c r="N271" s="240">
        <v>0</v>
      </c>
      <c r="O271" s="202"/>
    </row>
    <row r="272" spans="1:15" s="42" customFormat="1">
      <c r="A272" s="209">
        <v>252</v>
      </c>
      <c r="B272" s="238" t="s">
        <v>419</v>
      </c>
      <c r="C272" s="239">
        <v>1241309</v>
      </c>
      <c r="D272" s="240">
        <v>0</v>
      </c>
      <c r="E272" s="241">
        <v>0</v>
      </c>
      <c r="F272" s="240">
        <v>0</v>
      </c>
      <c r="G272" s="242">
        <v>622</v>
      </c>
      <c r="H272" s="243">
        <v>1241309</v>
      </c>
      <c r="I272" s="244">
        <v>0</v>
      </c>
      <c r="J272" s="240">
        <v>0</v>
      </c>
      <c r="K272" s="244">
        <v>0</v>
      </c>
      <c r="L272" s="240">
        <v>0</v>
      </c>
      <c r="M272" s="245">
        <v>0</v>
      </c>
      <c r="N272" s="240">
        <v>0</v>
      </c>
      <c r="O272" s="202"/>
    </row>
    <row r="273" spans="1:15" s="40" customFormat="1">
      <c r="A273" s="209">
        <v>253</v>
      </c>
      <c r="B273" s="238" t="s">
        <v>415</v>
      </c>
      <c r="C273" s="239">
        <v>1041360</v>
      </c>
      <c r="D273" s="240">
        <v>0</v>
      </c>
      <c r="E273" s="241">
        <v>0</v>
      </c>
      <c r="F273" s="240">
        <v>0</v>
      </c>
      <c r="G273" s="242">
        <v>520</v>
      </c>
      <c r="H273" s="243">
        <v>1041360</v>
      </c>
      <c r="I273" s="244">
        <v>0</v>
      </c>
      <c r="J273" s="240">
        <v>0</v>
      </c>
      <c r="K273" s="244">
        <v>0</v>
      </c>
      <c r="L273" s="240">
        <v>0</v>
      </c>
      <c r="M273" s="245">
        <v>0</v>
      </c>
      <c r="N273" s="240">
        <v>0</v>
      </c>
      <c r="O273" s="202"/>
    </row>
    <row r="274" spans="1:15" s="40" customFormat="1">
      <c r="A274" s="209">
        <v>254</v>
      </c>
      <c r="B274" s="238" t="s">
        <v>416</v>
      </c>
      <c r="C274" s="239">
        <v>1138866</v>
      </c>
      <c r="D274" s="240">
        <v>0</v>
      </c>
      <c r="E274" s="241">
        <v>0</v>
      </c>
      <c r="F274" s="240">
        <v>0</v>
      </c>
      <c r="G274" s="242">
        <v>570</v>
      </c>
      <c r="H274" s="243">
        <v>1138866</v>
      </c>
      <c r="I274" s="244">
        <v>0</v>
      </c>
      <c r="J274" s="240">
        <v>0</v>
      </c>
      <c r="K274" s="244">
        <v>0</v>
      </c>
      <c r="L274" s="240">
        <v>0</v>
      </c>
      <c r="M274" s="245">
        <v>0</v>
      </c>
      <c r="N274" s="240">
        <v>0</v>
      </c>
      <c r="O274" s="202"/>
    </row>
    <row r="275" spans="1:15" s="42" customFormat="1">
      <c r="A275" s="209">
        <v>255</v>
      </c>
      <c r="B275" s="238" t="s">
        <v>409</v>
      </c>
      <c r="C275" s="239">
        <v>848546</v>
      </c>
      <c r="D275" s="240">
        <v>0</v>
      </c>
      <c r="E275" s="241">
        <v>0</v>
      </c>
      <c r="F275" s="240">
        <v>0</v>
      </c>
      <c r="G275" s="248">
        <v>421.2</v>
      </c>
      <c r="H275" s="243">
        <v>848546</v>
      </c>
      <c r="I275" s="244">
        <v>0</v>
      </c>
      <c r="J275" s="240">
        <v>0</v>
      </c>
      <c r="K275" s="244">
        <v>0</v>
      </c>
      <c r="L275" s="240">
        <v>0</v>
      </c>
      <c r="M275" s="245">
        <v>0</v>
      </c>
      <c r="N275" s="240">
        <v>0</v>
      </c>
      <c r="O275" s="202"/>
    </row>
    <row r="276" spans="1:15" s="42" customFormat="1">
      <c r="A276" s="209">
        <v>256</v>
      </c>
      <c r="B276" s="238" t="s">
        <v>410</v>
      </c>
      <c r="C276" s="239">
        <v>848706</v>
      </c>
      <c r="D276" s="240">
        <v>0</v>
      </c>
      <c r="E276" s="241">
        <v>0</v>
      </c>
      <c r="F276" s="240">
        <v>0</v>
      </c>
      <c r="G276" s="248">
        <v>421.2</v>
      </c>
      <c r="H276" s="243">
        <v>848706</v>
      </c>
      <c r="I276" s="244">
        <v>0</v>
      </c>
      <c r="J276" s="240">
        <v>0</v>
      </c>
      <c r="K276" s="244">
        <v>0</v>
      </c>
      <c r="L276" s="240">
        <v>0</v>
      </c>
      <c r="M276" s="245">
        <v>0</v>
      </c>
      <c r="N276" s="240">
        <v>0</v>
      </c>
      <c r="O276" s="202"/>
    </row>
    <row r="277" spans="1:15" s="42" customFormat="1">
      <c r="A277" s="209">
        <v>257</v>
      </c>
      <c r="B277" s="238" t="s">
        <v>411</v>
      </c>
      <c r="C277" s="239">
        <v>1180083</v>
      </c>
      <c r="D277" s="240">
        <v>0</v>
      </c>
      <c r="E277" s="241">
        <v>0</v>
      </c>
      <c r="F277" s="240">
        <v>0</v>
      </c>
      <c r="G277" s="248">
        <v>590</v>
      </c>
      <c r="H277" s="243">
        <v>1180083</v>
      </c>
      <c r="I277" s="244">
        <v>0</v>
      </c>
      <c r="J277" s="240">
        <v>0</v>
      </c>
      <c r="K277" s="244">
        <v>0</v>
      </c>
      <c r="L277" s="240">
        <v>0</v>
      </c>
      <c r="M277" s="245">
        <v>0</v>
      </c>
      <c r="N277" s="240">
        <v>0</v>
      </c>
      <c r="O277" s="202"/>
    </row>
    <row r="278" spans="1:15" s="42" customFormat="1" ht="30">
      <c r="A278" s="209"/>
      <c r="B278" s="227" t="s">
        <v>661</v>
      </c>
      <c r="C278" s="239">
        <v>2336158</v>
      </c>
      <c r="D278" s="239">
        <v>0</v>
      </c>
      <c r="E278" s="241">
        <v>0</v>
      </c>
      <c r="F278" s="239">
        <v>0</v>
      </c>
      <c r="G278" s="239">
        <v>1196</v>
      </c>
      <c r="H278" s="239">
        <v>2336158</v>
      </c>
      <c r="I278" s="249">
        <v>0</v>
      </c>
      <c r="J278" s="239">
        <v>0</v>
      </c>
      <c r="K278" s="249">
        <v>0</v>
      </c>
      <c r="L278" s="239">
        <v>0</v>
      </c>
      <c r="M278" s="241">
        <v>0</v>
      </c>
      <c r="N278" s="239">
        <v>0</v>
      </c>
      <c r="O278" s="202"/>
    </row>
    <row r="279" spans="1:15" s="42" customFormat="1" ht="30">
      <c r="A279" s="209">
        <v>258</v>
      </c>
      <c r="B279" s="250" t="s">
        <v>422</v>
      </c>
      <c r="C279" s="239">
        <v>1168079</v>
      </c>
      <c r="D279" s="240">
        <v>0</v>
      </c>
      <c r="E279" s="241">
        <v>0</v>
      </c>
      <c r="F279" s="240">
        <v>0</v>
      </c>
      <c r="G279" s="248">
        <v>598</v>
      </c>
      <c r="H279" s="243">
        <v>1168079</v>
      </c>
      <c r="I279" s="249">
        <v>0</v>
      </c>
      <c r="J279" s="240">
        <v>0</v>
      </c>
      <c r="K279" s="249">
        <v>0</v>
      </c>
      <c r="L279" s="240">
        <v>0</v>
      </c>
      <c r="M279" s="241">
        <v>0</v>
      </c>
      <c r="N279" s="240">
        <v>0</v>
      </c>
      <c r="O279" s="202"/>
    </row>
    <row r="280" spans="1:15" s="42" customFormat="1" ht="30">
      <c r="A280" s="209">
        <v>259</v>
      </c>
      <c r="B280" s="250" t="s">
        <v>423</v>
      </c>
      <c r="C280" s="239">
        <v>1168079</v>
      </c>
      <c r="D280" s="240">
        <v>0</v>
      </c>
      <c r="E280" s="241">
        <v>0</v>
      </c>
      <c r="F280" s="240">
        <v>0</v>
      </c>
      <c r="G280" s="248">
        <v>598</v>
      </c>
      <c r="H280" s="243">
        <v>1168079</v>
      </c>
      <c r="I280" s="249">
        <v>0</v>
      </c>
      <c r="J280" s="240">
        <v>0</v>
      </c>
      <c r="K280" s="249">
        <v>0</v>
      </c>
      <c r="L280" s="240">
        <v>0</v>
      </c>
      <c r="M280" s="241">
        <v>0</v>
      </c>
      <c r="N280" s="240">
        <v>0</v>
      </c>
      <c r="O280" s="202"/>
    </row>
    <row r="281" spans="1:15" s="17" customFormat="1">
      <c r="A281" s="209"/>
      <c r="B281" s="233" t="s">
        <v>49</v>
      </c>
      <c r="C281" s="224">
        <v>4547180</v>
      </c>
      <c r="D281" s="224">
        <v>0</v>
      </c>
      <c r="E281" s="225">
        <v>0</v>
      </c>
      <c r="F281" s="224">
        <v>0</v>
      </c>
      <c r="G281" s="224">
        <v>2270</v>
      </c>
      <c r="H281" s="224">
        <v>4547180</v>
      </c>
      <c r="I281" s="226">
        <v>0</v>
      </c>
      <c r="J281" s="224">
        <v>0</v>
      </c>
      <c r="K281" s="226">
        <v>0</v>
      </c>
      <c r="L281" s="224">
        <v>0</v>
      </c>
      <c r="M281" s="225">
        <v>0</v>
      </c>
      <c r="N281" s="224">
        <v>0</v>
      </c>
      <c r="O281" s="202"/>
    </row>
    <row r="282" spans="1:15" ht="30">
      <c r="A282" s="209"/>
      <c r="B282" s="227" t="s">
        <v>614</v>
      </c>
      <c r="C282" s="224">
        <v>4547180</v>
      </c>
      <c r="D282" s="224">
        <v>0</v>
      </c>
      <c r="E282" s="225">
        <v>0</v>
      </c>
      <c r="F282" s="224">
        <v>0</v>
      </c>
      <c r="G282" s="224">
        <v>2270</v>
      </c>
      <c r="H282" s="224">
        <v>4547180</v>
      </c>
      <c r="I282" s="226">
        <v>0</v>
      </c>
      <c r="J282" s="224">
        <v>0</v>
      </c>
      <c r="K282" s="226">
        <v>0</v>
      </c>
      <c r="L282" s="224">
        <v>0</v>
      </c>
      <c r="M282" s="225">
        <v>0</v>
      </c>
      <c r="N282" s="224">
        <v>0</v>
      </c>
      <c r="O282" s="202"/>
    </row>
    <row r="283" spans="1:15">
      <c r="A283" s="209">
        <v>260</v>
      </c>
      <c r="B283" s="227" t="s">
        <v>424</v>
      </c>
      <c r="C283" s="224">
        <v>1270577</v>
      </c>
      <c r="D283" s="224">
        <v>0</v>
      </c>
      <c r="E283" s="225">
        <v>0</v>
      </c>
      <c r="F283" s="224">
        <v>0</v>
      </c>
      <c r="G283" s="210">
        <v>644</v>
      </c>
      <c r="H283" s="224">
        <v>1270577</v>
      </c>
      <c r="I283" s="226">
        <v>0</v>
      </c>
      <c r="J283" s="224">
        <v>0</v>
      </c>
      <c r="K283" s="226">
        <v>0</v>
      </c>
      <c r="L283" s="224">
        <v>0</v>
      </c>
      <c r="M283" s="225">
        <v>0</v>
      </c>
      <c r="N283" s="224">
        <v>0</v>
      </c>
      <c r="O283" s="202"/>
    </row>
    <row r="284" spans="1:15">
      <c r="A284" s="209">
        <v>261</v>
      </c>
      <c r="B284" s="227" t="s">
        <v>425</v>
      </c>
      <c r="C284" s="224">
        <v>3276603</v>
      </c>
      <c r="D284" s="224">
        <v>0</v>
      </c>
      <c r="E284" s="225">
        <v>0</v>
      </c>
      <c r="F284" s="224">
        <v>0</v>
      </c>
      <c r="G284" s="210">
        <v>1626</v>
      </c>
      <c r="H284" s="224">
        <v>3276603</v>
      </c>
      <c r="I284" s="226">
        <v>0</v>
      </c>
      <c r="J284" s="224">
        <v>0</v>
      </c>
      <c r="K284" s="226">
        <v>0</v>
      </c>
      <c r="L284" s="224">
        <v>0</v>
      </c>
      <c r="M284" s="225">
        <v>0</v>
      </c>
      <c r="N284" s="224">
        <v>0</v>
      </c>
      <c r="O284" s="202"/>
    </row>
    <row r="285" spans="1:15">
      <c r="A285" s="209"/>
      <c r="B285" s="233" t="s">
        <v>50</v>
      </c>
      <c r="C285" s="224">
        <v>12209518</v>
      </c>
      <c r="D285" s="224">
        <v>0</v>
      </c>
      <c r="E285" s="225">
        <v>0</v>
      </c>
      <c r="F285" s="224">
        <v>0</v>
      </c>
      <c r="G285" s="224">
        <v>6150</v>
      </c>
      <c r="H285" s="224">
        <v>12209518</v>
      </c>
      <c r="I285" s="226">
        <v>0</v>
      </c>
      <c r="J285" s="224">
        <v>0</v>
      </c>
      <c r="K285" s="226">
        <v>0</v>
      </c>
      <c r="L285" s="224">
        <v>0</v>
      </c>
      <c r="M285" s="225">
        <v>0</v>
      </c>
      <c r="N285" s="224">
        <v>0</v>
      </c>
      <c r="O285" s="202"/>
    </row>
    <row r="286" spans="1:15" ht="45">
      <c r="A286" s="209"/>
      <c r="B286" s="227" t="s">
        <v>615</v>
      </c>
      <c r="C286" s="224">
        <v>4447999</v>
      </c>
      <c r="D286" s="224">
        <v>0</v>
      </c>
      <c r="E286" s="225">
        <v>0</v>
      </c>
      <c r="F286" s="224">
        <v>0</v>
      </c>
      <c r="G286" s="224">
        <v>2244</v>
      </c>
      <c r="H286" s="224">
        <v>4447999</v>
      </c>
      <c r="I286" s="226">
        <v>0</v>
      </c>
      <c r="J286" s="224">
        <v>0</v>
      </c>
      <c r="K286" s="226">
        <v>0</v>
      </c>
      <c r="L286" s="224">
        <v>0</v>
      </c>
      <c r="M286" s="225">
        <v>0</v>
      </c>
      <c r="N286" s="224">
        <v>0</v>
      </c>
      <c r="O286" s="202"/>
    </row>
    <row r="287" spans="1:15">
      <c r="A287" s="209">
        <v>262</v>
      </c>
      <c r="B287" s="227" t="s">
        <v>428</v>
      </c>
      <c r="C287" s="224">
        <v>1020965</v>
      </c>
      <c r="D287" s="224">
        <v>0</v>
      </c>
      <c r="E287" s="225">
        <v>0</v>
      </c>
      <c r="F287" s="224">
        <v>0</v>
      </c>
      <c r="G287" s="210">
        <v>508</v>
      </c>
      <c r="H287" s="224">
        <v>1020965</v>
      </c>
      <c r="I287" s="226">
        <v>0</v>
      </c>
      <c r="J287" s="224">
        <v>0</v>
      </c>
      <c r="K287" s="226">
        <v>0</v>
      </c>
      <c r="L287" s="224">
        <v>0</v>
      </c>
      <c r="M287" s="225">
        <v>0</v>
      </c>
      <c r="N287" s="224">
        <v>0</v>
      </c>
      <c r="O287" s="202"/>
    </row>
    <row r="288" spans="1:15">
      <c r="A288" s="209">
        <v>263</v>
      </c>
      <c r="B288" s="227" t="s">
        <v>427</v>
      </c>
      <c r="C288" s="224">
        <v>1328646</v>
      </c>
      <c r="D288" s="224">
        <v>0</v>
      </c>
      <c r="E288" s="225">
        <v>0</v>
      </c>
      <c r="F288" s="224">
        <v>0</v>
      </c>
      <c r="G288" s="210">
        <v>674</v>
      </c>
      <c r="H288" s="224">
        <v>1328646</v>
      </c>
      <c r="I288" s="226">
        <v>0</v>
      </c>
      <c r="J288" s="224">
        <v>0</v>
      </c>
      <c r="K288" s="226">
        <v>0</v>
      </c>
      <c r="L288" s="224">
        <v>0</v>
      </c>
      <c r="M288" s="225">
        <v>0</v>
      </c>
      <c r="N288" s="224">
        <v>0</v>
      </c>
      <c r="O288" s="202"/>
    </row>
    <row r="289" spans="1:15">
      <c r="A289" s="209">
        <v>264</v>
      </c>
      <c r="B289" s="227" t="s">
        <v>426</v>
      </c>
      <c r="C289" s="224">
        <v>2098388</v>
      </c>
      <c r="D289" s="224">
        <v>0</v>
      </c>
      <c r="E289" s="225">
        <v>0</v>
      </c>
      <c r="F289" s="224">
        <v>0</v>
      </c>
      <c r="G289" s="210">
        <v>1062</v>
      </c>
      <c r="H289" s="224">
        <v>2098388</v>
      </c>
      <c r="I289" s="226">
        <v>0</v>
      </c>
      <c r="J289" s="224">
        <v>0</v>
      </c>
      <c r="K289" s="226">
        <v>0</v>
      </c>
      <c r="L289" s="224">
        <v>0</v>
      </c>
      <c r="M289" s="225">
        <v>0</v>
      </c>
      <c r="N289" s="224">
        <v>0</v>
      </c>
      <c r="O289" s="202"/>
    </row>
    <row r="290" spans="1:15" ht="30">
      <c r="A290" s="209"/>
      <c r="B290" s="227" t="s">
        <v>616</v>
      </c>
      <c r="C290" s="224">
        <v>1620675</v>
      </c>
      <c r="D290" s="224">
        <v>0</v>
      </c>
      <c r="E290" s="225">
        <v>0</v>
      </c>
      <c r="F290" s="224">
        <v>0</v>
      </c>
      <c r="G290" s="224">
        <v>802</v>
      </c>
      <c r="H290" s="224">
        <v>1620675</v>
      </c>
      <c r="I290" s="226">
        <v>0</v>
      </c>
      <c r="J290" s="224">
        <v>0</v>
      </c>
      <c r="K290" s="226">
        <v>0</v>
      </c>
      <c r="L290" s="224">
        <v>0</v>
      </c>
      <c r="M290" s="225">
        <v>0</v>
      </c>
      <c r="N290" s="224">
        <v>0</v>
      </c>
      <c r="O290" s="202"/>
    </row>
    <row r="291" spans="1:15" ht="30">
      <c r="A291" s="209">
        <v>265</v>
      </c>
      <c r="B291" s="227" t="s">
        <v>575</v>
      </c>
      <c r="C291" s="224">
        <v>902900</v>
      </c>
      <c r="D291" s="224">
        <v>0</v>
      </c>
      <c r="E291" s="225">
        <v>0</v>
      </c>
      <c r="F291" s="224">
        <v>0</v>
      </c>
      <c r="G291" s="221">
        <v>448</v>
      </c>
      <c r="H291" s="224">
        <v>902900</v>
      </c>
      <c r="I291" s="226">
        <v>0</v>
      </c>
      <c r="J291" s="224">
        <v>0</v>
      </c>
      <c r="K291" s="226">
        <v>0</v>
      </c>
      <c r="L291" s="224">
        <v>0</v>
      </c>
      <c r="M291" s="225">
        <v>0</v>
      </c>
      <c r="N291" s="224">
        <v>0</v>
      </c>
      <c r="O291" s="202"/>
    </row>
    <row r="292" spans="1:15" ht="30">
      <c r="A292" s="209">
        <v>266</v>
      </c>
      <c r="B292" s="227" t="s">
        <v>576</v>
      </c>
      <c r="C292" s="224">
        <v>717775</v>
      </c>
      <c r="D292" s="224">
        <v>0</v>
      </c>
      <c r="E292" s="225">
        <v>0</v>
      </c>
      <c r="F292" s="224">
        <v>0</v>
      </c>
      <c r="G292" s="221">
        <v>354</v>
      </c>
      <c r="H292" s="224">
        <v>717775</v>
      </c>
      <c r="I292" s="226">
        <v>0</v>
      </c>
      <c r="J292" s="224">
        <v>0</v>
      </c>
      <c r="K292" s="226">
        <v>0</v>
      </c>
      <c r="L292" s="224">
        <v>0</v>
      </c>
      <c r="M292" s="225">
        <v>0</v>
      </c>
      <c r="N292" s="224">
        <v>0</v>
      </c>
      <c r="O292" s="202"/>
    </row>
    <row r="293" spans="1:15" ht="30">
      <c r="A293" s="209"/>
      <c r="B293" s="227" t="s">
        <v>617</v>
      </c>
      <c r="C293" s="224">
        <v>1699514</v>
      </c>
      <c r="D293" s="224">
        <v>0</v>
      </c>
      <c r="E293" s="225">
        <v>0</v>
      </c>
      <c r="F293" s="224">
        <v>0</v>
      </c>
      <c r="G293" s="224">
        <v>856</v>
      </c>
      <c r="H293" s="224">
        <v>1699514</v>
      </c>
      <c r="I293" s="226">
        <v>0</v>
      </c>
      <c r="J293" s="224">
        <v>0</v>
      </c>
      <c r="K293" s="226">
        <v>0</v>
      </c>
      <c r="L293" s="224">
        <v>0</v>
      </c>
      <c r="M293" s="225">
        <v>0</v>
      </c>
      <c r="N293" s="224">
        <v>0</v>
      </c>
      <c r="O293" s="202"/>
    </row>
    <row r="294" spans="1:15" ht="30">
      <c r="A294" s="209">
        <v>267</v>
      </c>
      <c r="B294" s="227" t="s">
        <v>592</v>
      </c>
      <c r="C294" s="224">
        <v>1699514</v>
      </c>
      <c r="D294" s="224">
        <v>0</v>
      </c>
      <c r="E294" s="225">
        <v>0</v>
      </c>
      <c r="F294" s="224">
        <v>0</v>
      </c>
      <c r="G294" s="210">
        <v>856</v>
      </c>
      <c r="H294" s="224">
        <v>1699514</v>
      </c>
      <c r="I294" s="226">
        <v>0</v>
      </c>
      <c r="J294" s="224">
        <v>0</v>
      </c>
      <c r="K294" s="226">
        <v>0</v>
      </c>
      <c r="L294" s="224">
        <v>0</v>
      </c>
      <c r="M294" s="225">
        <v>0</v>
      </c>
      <c r="N294" s="224">
        <v>0</v>
      </c>
      <c r="O294" s="202"/>
    </row>
    <row r="295" spans="1:15" ht="30">
      <c r="A295" s="209"/>
      <c r="B295" s="227" t="s">
        <v>618</v>
      </c>
      <c r="C295" s="224">
        <v>1995924</v>
      </c>
      <c r="D295" s="224">
        <v>0</v>
      </c>
      <c r="E295" s="225">
        <v>0</v>
      </c>
      <c r="F295" s="224">
        <v>0</v>
      </c>
      <c r="G295" s="224">
        <v>1009</v>
      </c>
      <c r="H295" s="224">
        <v>1995924</v>
      </c>
      <c r="I295" s="226">
        <v>0</v>
      </c>
      <c r="J295" s="224">
        <v>0</v>
      </c>
      <c r="K295" s="226">
        <v>0</v>
      </c>
      <c r="L295" s="224">
        <v>0</v>
      </c>
      <c r="M295" s="225">
        <v>0</v>
      </c>
      <c r="N295" s="224">
        <v>0</v>
      </c>
      <c r="O295" s="202"/>
    </row>
    <row r="296" spans="1:15" ht="30">
      <c r="A296" s="209">
        <v>268</v>
      </c>
      <c r="B296" s="227" t="s">
        <v>577</v>
      </c>
      <c r="C296" s="224">
        <v>815875</v>
      </c>
      <c r="D296" s="224">
        <v>0</v>
      </c>
      <c r="E296" s="225">
        <v>0</v>
      </c>
      <c r="F296" s="224">
        <v>0</v>
      </c>
      <c r="G296" s="210">
        <v>414</v>
      </c>
      <c r="H296" s="224">
        <v>815875</v>
      </c>
      <c r="I296" s="226">
        <v>0</v>
      </c>
      <c r="J296" s="224">
        <v>0</v>
      </c>
      <c r="K296" s="226">
        <v>0</v>
      </c>
      <c r="L296" s="224">
        <v>0</v>
      </c>
      <c r="M296" s="225">
        <v>0</v>
      </c>
      <c r="N296" s="224">
        <v>0</v>
      </c>
      <c r="O296" s="202"/>
    </row>
    <row r="297" spans="1:15" ht="30">
      <c r="A297" s="209">
        <v>269</v>
      </c>
      <c r="B297" s="227" t="s">
        <v>588</v>
      </c>
      <c r="C297" s="224">
        <v>1180049</v>
      </c>
      <c r="D297" s="224">
        <v>0</v>
      </c>
      <c r="E297" s="225">
        <v>0</v>
      </c>
      <c r="F297" s="224">
        <v>0</v>
      </c>
      <c r="G297" s="224">
        <v>595</v>
      </c>
      <c r="H297" s="224">
        <v>1180049</v>
      </c>
      <c r="I297" s="226">
        <v>0</v>
      </c>
      <c r="J297" s="224">
        <v>0</v>
      </c>
      <c r="K297" s="226">
        <v>0</v>
      </c>
      <c r="L297" s="224">
        <v>0</v>
      </c>
      <c r="M297" s="225">
        <v>0</v>
      </c>
      <c r="N297" s="224">
        <v>0</v>
      </c>
      <c r="O297" s="202"/>
    </row>
    <row r="298" spans="1:15" ht="30">
      <c r="A298" s="209"/>
      <c r="B298" s="227" t="s">
        <v>619</v>
      </c>
      <c r="C298" s="224">
        <v>2445406</v>
      </c>
      <c r="D298" s="224">
        <v>0</v>
      </c>
      <c r="E298" s="225">
        <v>0</v>
      </c>
      <c r="F298" s="224">
        <v>0</v>
      </c>
      <c r="G298" s="224">
        <v>1239</v>
      </c>
      <c r="H298" s="224">
        <v>2445406</v>
      </c>
      <c r="I298" s="226">
        <v>0</v>
      </c>
      <c r="J298" s="224">
        <v>0</v>
      </c>
      <c r="K298" s="226">
        <v>0</v>
      </c>
      <c r="L298" s="224">
        <v>0</v>
      </c>
      <c r="M298" s="225">
        <v>0</v>
      </c>
      <c r="N298" s="224">
        <v>0</v>
      </c>
      <c r="O298" s="202"/>
    </row>
    <row r="299" spans="1:15" ht="30">
      <c r="A299" s="209">
        <v>270</v>
      </c>
      <c r="B299" s="227" t="s">
        <v>578</v>
      </c>
      <c r="C299" s="224">
        <v>2445406</v>
      </c>
      <c r="D299" s="224">
        <v>0</v>
      </c>
      <c r="E299" s="225">
        <v>0</v>
      </c>
      <c r="F299" s="224">
        <v>0</v>
      </c>
      <c r="G299" s="224">
        <v>1239</v>
      </c>
      <c r="H299" s="224">
        <v>2445406</v>
      </c>
      <c r="I299" s="226">
        <v>0</v>
      </c>
      <c r="J299" s="224">
        <v>0</v>
      </c>
      <c r="K299" s="226">
        <v>0</v>
      </c>
      <c r="L299" s="224">
        <v>0</v>
      </c>
      <c r="M299" s="225">
        <v>0</v>
      </c>
      <c r="N299" s="224">
        <v>0</v>
      </c>
      <c r="O299" s="202"/>
    </row>
    <row r="300" spans="1:15">
      <c r="A300" s="209"/>
      <c r="B300" s="233" t="s">
        <v>51</v>
      </c>
      <c r="C300" s="224">
        <v>1628671</v>
      </c>
      <c r="D300" s="224">
        <v>0</v>
      </c>
      <c r="E300" s="225">
        <v>0</v>
      </c>
      <c r="F300" s="224">
        <v>0</v>
      </c>
      <c r="G300" s="224">
        <v>806</v>
      </c>
      <c r="H300" s="224">
        <v>1628671</v>
      </c>
      <c r="I300" s="226">
        <v>0</v>
      </c>
      <c r="J300" s="224">
        <v>0</v>
      </c>
      <c r="K300" s="226">
        <v>0</v>
      </c>
      <c r="L300" s="224">
        <v>0</v>
      </c>
      <c r="M300" s="225">
        <v>0</v>
      </c>
      <c r="N300" s="224">
        <v>0</v>
      </c>
      <c r="O300" s="202"/>
    </row>
    <row r="301" spans="1:15" ht="30">
      <c r="A301" s="209"/>
      <c r="B301" s="227" t="s">
        <v>660</v>
      </c>
      <c r="C301" s="224">
        <v>1628671</v>
      </c>
      <c r="D301" s="224">
        <v>0</v>
      </c>
      <c r="E301" s="225">
        <v>0</v>
      </c>
      <c r="F301" s="224">
        <v>0</v>
      </c>
      <c r="G301" s="224">
        <v>806</v>
      </c>
      <c r="H301" s="224">
        <v>1628671</v>
      </c>
      <c r="I301" s="226">
        <v>0</v>
      </c>
      <c r="J301" s="224">
        <v>0</v>
      </c>
      <c r="K301" s="226">
        <v>0</v>
      </c>
      <c r="L301" s="224">
        <v>0</v>
      </c>
      <c r="M301" s="225">
        <v>0</v>
      </c>
      <c r="N301" s="224">
        <v>0</v>
      </c>
      <c r="O301" s="202"/>
    </row>
    <row r="302" spans="1:15">
      <c r="A302" s="209">
        <v>271</v>
      </c>
      <c r="B302" s="227" t="s">
        <v>666</v>
      </c>
      <c r="C302" s="224">
        <v>738839</v>
      </c>
      <c r="D302" s="224">
        <v>0</v>
      </c>
      <c r="E302" s="225">
        <v>0</v>
      </c>
      <c r="F302" s="224">
        <v>0</v>
      </c>
      <c r="G302" s="207">
        <v>365</v>
      </c>
      <c r="H302" s="224">
        <v>738839</v>
      </c>
      <c r="I302" s="226">
        <v>0</v>
      </c>
      <c r="J302" s="224">
        <v>0</v>
      </c>
      <c r="K302" s="226">
        <v>0</v>
      </c>
      <c r="L302" s="224">
        <v>0</v>
      </c>
      <c r="M302" s="225">
        <v>0</v>
      </c>
      <c r="N302" s="224">
        <v>0</v>
      </c>
      <c r="O302" s="202"/>
    </row>
    <row r="303" spans="1:15">
      <c r="A303" s="209">
        <v>272</v>
      </c>
      <c r="B303" s="227" t="s">
        <v>667</v>
      </c>
      <c r="C303" s="224">
        <v>889832</v>
      </c>
      <c r="D303" s="224">
        <v>0</v>
      </c>
      <c r="E303" s="225">
        <v>0</v>
      </c>
      <c r="F303" s="224">
        <v>0</v>
      </c>
      <c r="G303" s="224">
        <v>441</v>
      </c>
      <c r="H303" s="224">
        <v>889832</v>
      </c>
      <c r="I303" s="226">
        <v>0</v>
      </c>
      <c r="J303" s="224">
        <v>0</v>
      </c>
      <c r="K303" s="226">
        <v>0</v>
      </c>
      <c r="L303" s="224">
        <v>0</v>
      </c>
      <c r="M303" s="225">
        <v>0</v>
      </c>
      <c r="N303" s="224">
        <v>0</v>
      </c>
      <c r="O303" s="202"/>
    </row>
    <row r="304" spans="1:15" s="17" customFormat="1">
      <c r="A304" s="209"/>
      <c r="B304" s="233" t="s">
        <v>52</v>
      </c>
      <c r="C304" s="224">
        <v>4056938</v>
      </c>
      <c r="D304" s="224">
        <v>0</v>
      </c>
      <c r="E304" s="225">
        <v>0</v>
      </c>
      <c r="F304" s="224">
        <v>0</v>
      </c>
      <c r="G304" s="224">
        <v>2036</v>
      </c>
      <c r="H304" s="224">
        <v>4056938</v>
      </c>
      <c r="I304" s="226">
        <v>0</v>
      </c>
      <c r="J304" s="224">
        <v>0</v>
      </c>
      <c r="K304" s="226">
        <v>0</v>
      </c>
      <c r="L304" s="224">
        <v>0</v>
      </c>
      <c r="M304" s="225">
        <v>0</v>
      </c>
      <c r="N304" s="224">
        <v>0</v>
      </c>
      <c r="O304" s="202"/>
    </row>
    <row r="305" spans="1:15" ht="45">
      <c r="A305" s="209"/>
      <c r="B305" s="227" t="s">
        <v>620</v>
      </c>
      <c r="C305" s="224">
        <v>4056938</v>
      </c>
      <c r="D305" s="224">
        <v>0</v>
      </c>
      <c r="E305" s="225">
        <v>0</v>
      </c>
      <c r="F305" s="224">
        <v>0</v>
      </c>
      <c r="G305" s="224">
        <v>2036</v>
      </c>
      <c r="H305" s="224">
        <v>4056938</v>
      </c>
      <c r="I305" s="226">
        <v>0</v>
      </c>
      <c r="J305" s="224">
        <v>0</v>
      </c>
      <c r="K305" s="226">
        <v>0</v>
      </c>
      <c r="L305" s="224">
        <v>0</v>
      </c>
      <c r="M305" s="225">
        <v>0</v>
      </c>
      <c r="N305" s="224">
        <v>0</v>
      </c>
      <c r="O305" s="202"/>
    </row>
    <row r="306" spans="1:15">
      <c r="A306" s="209">
        <v>273</v>
      </c>
      <c r="B306" s="227" t="s">
        <v>435</v>
      </c>
      <c r="C306" s="224">
        <v>716871</v>
      </c>
      <c r="D306" s="224">
        <v>0</v>
      </c>
      <c r="E306" s="225">
        <v>0</v>
      </c>
      <c r="F306" s="224">
        <v>0</v>
      </c>
      <c r="G306" s="224">
        <v>353</v>
      </c>
      <c r="H306" s="224">
        <v>716871</v>
      </c>
      <c r="I306" s="226">
        <v>0</v>
      </c>
      <c r="J306" s="224">
        <v>0</v>
      </c>
      <c r="K306" s="226">
        <v>0</v>
      </c>
      <c r="L306" s="224">
        <v>0</v>
      </c>
      <c r="M306" s="225">
        <v>0</v>
      </c>
      <c r="N306" s="224">
        <v>0</v>
      </c>
      <c r="O306" s="202"/>
    </row>
    <row r="307" spans="1:15">
      <c r="A307" s="209">
        <v>274</v>
      </c>
      <c r="B307" s="227" t="s">
        <v>73</v>
      </c>
      <c r="C307" s="224">
        <v>1182412</v>
      </c>
      <c r="D307" s="224">
        <v>0</v>
      </c>
      <c r="E307" s="225">
        <v>0</v>
      </c>
      <c r="F307" s="224">
        <v>0</v>
      </c>
      <c r="G307" s="224">
        <v>599</v>
      </c>
      <c r="H307" s="224">
        <v>1182412</v>
      </c>
      <c r="I307" s="226">
        <v>0</v>
      </c>
      <c r="J307" s="224">
        <v>0</v>
      </c>
      <c r="K307" s="226">
        <v>0</v>
      </c>
      <c r="L307" s="224">
        <v>0</v>
      </c>
      <c r="M307" s="225">
        <v>0</v>
      </c>
      <c r="N307" s="224">
        <v>0</v>
      </c>
      <c r="O307" s="202"/>
    </row>
    <row r="308" spans="1:15">
      <c r="A308" s="209">
        <v>275</v>
      </c>
      <c r="B308" s="227" t="s">
        <v>436</v>
      </c>
      <c r="C308" s="224">
        <v>933776</v>
      </c>
      <c r="D308" s="224">
        <v>0</v>
      </c>
      <c r="E308" s="225">
        <v>0</v>
      </c>
      <c r="F308" s="224">
        <v>0</v>
      </c>
      <c r="G308" s="224">
        <v>464</v>
      </c>
      <c r="H308" s="224">
        <v>933776</v>
      </c>
      <c r="I308" s="226">
        <v>0</v>
      </c>
      <c r="J308" s="224">
        <v>0</v>
      </c>
      <c r="K308" s="226">
        <v>0</v>
      </c>
      <c r="L308" s="224">
        <v>0</v>
      </c>
      <c r="M308" s="225">
        <v>0</v>
      </c>
      <c r="N308" s="224">
        <v>0</v>
      </c>
      <c r="O308" s="202"/>
    </row>
    <row r="309" spans="1:15">
      <c r="A309" s="209">
        <v>276</v>
      </c>
      <c r="B309" s="227" t="s">
        <v>437</v>
      </c>
      <c r="C309" s="224">
        <v>1223879</v>
      </c>
      <c r="D309" s="224">
        <v>0</v>
      </c>
      <c r="E309" s="225">
        <v>0</v>
      </c>
      <c r="F309" s="224">
        <v>0</v>
      </c>
      <c r="G309" s="224">
        <v>620</v>
      </c>
      <c r="H309" s="224">
        <v>1223879</v>
      </c>
      <c r="I309" s="226">
        <v>0</v>
      </c>
      <c r="J309" s="224">
        <v>0</v>
      </c>
      <c r="K309" s="226">
        <v>0</v>
      </c>
      <c r="L309" s="224">
        <v>0</v>
      </c>
      <c r="M309" s="225">
        <v>0</v>
      </c>
      <c r="N309" s="224">
        <v>0</v>
      </c>
      <c r="O309" s="202"/>
    </row>
    <row r="310" spans="1:15" s="73" customFormat="1">
      <c r="A310" s="209"/>
      <c r="B310" s="233" t="s">
        <v>53</v>
      </c>
      <c r="C310" s="224">
        <v>3947863</v>
      </c>
      <c r="D310" s="224">
        <v>163315</v>
      </c>
      <c r="E310" s="225">
        <v>0</v>
      </c>
      <c r="F310" s="224">
        <v>0</v>
      </c>
      <c r="G310" s="224">
        <v>1314.93</v>
      </c>
      <c r="H310" s="224">
        <v>2673179</v>
      </c>
      <c r="I310" s="226">
        <v>0</v>
      </c>
      <c r="J310" s="224">
        <v>0</v>
      </c>
      <c r="K310" s="224">
        <v>759.4</v>
      </c>
      <c r="L310" s="224">
        <v>1111369</v>
      </c>
      <c r="M310" s="225">
        <v>0</v>
      </c>
      <c r="N310" s="224">
        <v>0</v>
      </c>
      <c r="O310" s="202"/>
    </row>
    <row r="311" spans="1:15" ht="30">
      <c r="A311" s="209"/>
      <c r="B311" s="227" t="s">
        <v>621</v>
      </c>
      <c r="C311" s="224">
        <v>3394024</v>
      </c>
      <c r="D311" s="224">
        <v>163315</v>
      </c>
      <c r="E311" s="225">
        <v>0</v>
      </c>
      <c r="F311" s="224">
        <v>0</v>
      </c>
      <c r="G311" s="224">
        <v>1044</v>
      </c>
      <c r="H311" s="224">
        <v>2119340</v>
      </c>
      <c r="I311" s="226">
        <v>0</v>
      </c>
      <c r="J311" s="224">
        <v>0</v>
      </c>
      <c r="K311" s="224">
        <v>759.4</v>
      </c>
      <c r="L311" s="224">
        <v>1111369</v>
      </c>
      <c r="M311" s="225">
        <v>0</v>
      </c>
      <c r="N311" s="224">
        <v>0</v>
      </c>
      <c r="O311" s="202"/>
    </row>
    <row r="312" spans="1:15">
      <c r="A312" s="209">
        <v>277</v>
      </c>
      <c r="B312" s="227" t="s">
        <v>439</v>
      </c>
      <c r="C312" s="224">
        <v>1339091</v>
      </c>
      <c r="D312" s="202">
        <v>93553</v>
      </c>
      <c r="E312" s="216">
        <v>0</v>
      </c>
      <c r="F312" s="202">
        <v>0</v>
      </c>
      <c r="G312" s="202">
        <v>340</v>
      </c>
      <c r="H312" s="251">
        <v>690563</v>
      </c>
      <c r="I312" s="203">
        <v>0</v>
      </c>
      <c r="J312" s="202">
        <v>0</v>
      </c>
      <c r="K312" s="202">
        <v>379</v>
      </c>
      <c r="L312" s="202">
        <v>554975</v>
      </c>
      <c r="M312" s="216">
        <v>0</v>
      </c>
      <c r="N312" s="202">
        <v>0</v>
      </c>
      <c r="O312" s="202"/>
    </row>
    <row r="313" spans="1:15">
      <c r="A313" s="209">
        <v>278</v>
      </c>
      <c r="B313" s="227" t="s">
        <v>438</v>
      </c>
      <c r="C313" s="224">
        <v>1138249</v>
      </c>
      <c r="D313" s="202">
        <v>69762</v>
      </c>
      <c r="E313" s="225">
        <v>0</v>
      </c>
      <c r="F313" s="224">
        <v>0</v>
      </c>
      <c r="G313" s="202">
        <v>249</v>
      </c>
      <c r="H313" s="251">
        <v>512093</v>
      </c>
      <c r="I313" s="226">
        <v>0</v>
      </c>
      <c r="J313" s="224">
        <v>0</v>
      </c>
      <c r="K313" s="202">
        <v>380.4</v>
      </c>
      <c r="L313" s="202">
        <v>556394</v>
      </c>
      <c r="M313" s="225">
        <v>0</v>
      </c>
      <c r="N313" s="224">
        <v>0</v>
      </c>
      <c r="O313" s="202"/>
    </row>
    <row r="314" spans="1:15">
      <c r="A314" s="209">
        <v>279</v>
      </c>
      <c r="B314" s="227" t="s">
        <v>440</v>
      </c>
      <c r="C314" s="224">
        <v>916684</v>
      </c>
      <c r="D314" s="202">
        <v>0</v>
      </c>
      <c r="E314" s="216">
        <v>0</v>
      </c>
      <c r="F314" s="202">
        <v>0</v>
      </c>
      <c r="G314" s="202">
        <v>455</v>
      </c>
      <c r="H314" s="251">
        <v>916684</v>
      </c>
      <c r="I314" s="203">
        <v>0</v>
      </c>
      <c r="J314" s="202">
        <v>0</v>
      </c>
      <c r="K314" s="203">
        <v>0</v>
      </c>
      <c r="L314" s="202">
        <v>0</v>
      </c>
      <c r="M314" s="216">
        <v>0</v>
      </c>
      <c r="N314" s="202">
        <v>0</v>
      </c>
      <c r="O314" s="202"/>
    </row>
    <row r="315" spans="1:15" ht="30">
      <c r="A315" s="209"/>
      <c r="B315" s="227" t="s">
        <v>622</v>
      </c>
      <c r="C315" s="224">
        <v>553839</v>
      </c>
      <c r="D315" s="224">
        <v>0</v>
      </c>
      <c r="E315" s="225">
        <v>0</v>
      </c>
      <c r="F315" s="224">
        <v>0</v>
      </c>
      <c r="G315" s="224">
        <v>270.93</v>
      </c>
      <c r="H315" s="224">
        <v>553839</v>
      </c>
      <c r="I315" s="226">
        <v>0</v>
      </c>
      <c r="J315" s="224">
        <v>0</v>
      </c>
      <c r="K315" s="226">
        <v>0</v>
      </c>
      <c r="L315" s="224">
        <v>0</v>
      </c>
      <c r="M315" s="225">
        <v>0</v>
      </c>
      <c r="N315" s="224">
        <v>0</v>
      </c>
      <c r="O315" s="202"/>
    </row>
    <row r="316" spans="1:15" ht="30">
      <c r="A316" s="209">
        <v>280</v>
      </c>
      <c r="B316" s="227" t="s">
        <v>579</v>
      </c>
      <c r="C316" s="224">
        <v>553839</v>
      </c>
      <c r="D316" s="224">
        <v>0</v>
      </c>
      <c r="E316" s="225">
        <v>0</v>
      </c>
      <c r="F316" s="224">
        <v>0</v>
      </c>
      <c r="G316" s="210">
        <v>270.93</v>
      </c>
      <c r="H316" s="224">
        <v>553839</v>
      </c>
      <c r="I316" s="226">
        <v>0</v>
      </c>
      <c r="J316" s="224">
        <v>0</v>
      </c>
      <c r="K316" s="226">
        <v>0</v>
      </c>
      <c r="L316" s="224">
        <v>0</v>
      </c>
      <c r="M316" s="225">
        <v>0</v>
      </c>
      <c r="N316" s="224">
        <v>0</v>
      </c>
      <c r="O316" s="202"/>
    </row>
    <row r="317" spans="1:15">
      <c r="A317" s="209"/>
      <c r="B317" s="233" t="s">
        <v>54</v>
      </c>
      <c r="C317" s="224">
        <v>8949722</v>
      </c>
      <c r="D317" s="224">
        <v>0</v>
      </c>
      <c r="E317" s="225">
        <v>0</v>
      </c>
      <c r="F317" s="224">
        <v>0</v>
      </c>
      <c r="G317" s="224">
        <v>3313.5</v>
      </c>
      <c r="H317" s="224">
        <v>6652861</v>
      </c>
      <c r="I317" s="226">
        <v>0</v>
      </c>
      <c r="J317" s="224">
        <v>0</v>
      </c>
      <c r="K317" s="224">
        <v>1589</v>
      </c>
      <c r="L317" s="224">
        <v>2296861</v>
      </c>
      <c r="M317" s="225">
        <v>0</v>
      </c>
      <c r="N317" s="224">
        <v>0</v>
      </c>
      <c r="O317" s="202"/>
    </row>
    <row r="318" spans="1:15" ht="30">
      <c r="A318" s="209"/>
      <c r="B318" s="227" t="s">
        <v>623</v>
      </c>
      <c r="C318" s="224">
        <v>2562200</v>
      </c>
      <c r="D318" s="224">
        <v>0</v>
      </c>
      <c r="E318" s="225">
        <v>0</v>
      </c>
      <c r="F318" s="224">
        <v>0</v>
      </c>
      <c r="G318" s="224">
        <v>1255</v>
      </c>
      <c r="H318" s="224">
        <v>2562200</v>
      </c>
      <c r="I318" s="226">
        <v>0</v>
      </c>
      <c r="J318" s="224">
        <v>0</v>
      </c>
      <c r="K318" s="226">
        <v>0</v>
      </c>
      <c r="L318" s="224">
        <v>0</v>
      </c>
      <c r="M318" s="225">
        <v>0</v>
      </c>
      <c r="N318" s="224">
        <v>0</v>
      </c>
      <c r="O318" s="202"/>
    </row>
    <row r="319" spans="1:15" s="17" customFormat="1">
      <c r="A319" s="209">
        <v>281</v>
      </c>
      <c r="B319" s="233" t="s">
        <v>441</v>
      </c>
      <c r="C319" s="224">
        <v>1082825</v>
      </c>
      <c r="D319" s="224">
        <v>0</v>
      </c>
      <c r="E319" s="225">
        <v>0</v>
      </c>
      <c r="F319" s="224">
        <v>0</v>
      </c>
      <c r="G319" s="224">
        <v>515</v>
      </c>
      <c r="H319" s="224">
        <v>1082825</v>
      </c>
      <c r="I319" s="226">
        <v>0</v>
      </c>
      <c r="J319" s="224">
        <v>0</v>
      </c>
      <c r="K319" s="226">
        <v>0</v>
      </c>
      <c r="L319" s="224">
        <v>0</v>
      </c>
      <c r="M319" s="225">
        <v>0</v>
      </c>
      <c r="N319" s="224">
        <v>0</v>
      </c>
      <c r="O319" s="202"/>
    </row>
    <row r="320" spans="1:15" s="17" customFormat="1">
      <c r="A320" s="209">
        <v>282</v>
      </c>
      <c r="B320" s="233" t="s">
        <v>442</v>
      </c>
      <c r="C320" s="224">
        <v>1479375</v>
      </c>
      <c r="D320" s="224">
        <v>0</v>
      </c>
      <c r="E320" s="225">
        <v>0</v>
      </c>
      <c r="F320" s="224">
        <v>0</v>
      </c>
      <c r="G320" s="224">
        <v>740</v>
      </c>
      <c r="H320" s="224">
        <v>1479375</v>
      </c>
      <c r="I320" s="226">
        <v>0</v>
      </c>
      <c r="J320" s="224">
        <v>0</v>
      </c>
      <c r="K320" s="226">
        <v>0</v>
      </c>
      <c r="L320" s="224">
        <v>0</v>
      </c>
      <c r="M320" s="225">
        <v>0</v>
      </c>
      <c r="N320" s="224">
        <v>0</v>
      </c>
      <c r="O320" s="202"/>
    </row>
    <row r="321" spans="1:15" s="17" customFormat="1" ht="30">
      <c r="A321" s="209"/>
      <c r="B321" s="227" t="s">
        <v>624</v>
      </c>
      <c r="C321" s="224">
        <v>1905804</v>
      </c>
      <c r="D321" s="224">
        <v>0</v>
      </c>
      <c r="E321" s="225">
        <v>0</v>
      </c>
      <c r="F321" s="224">
        <v>0</v>
      </c>
      <c r="G321" s="224">
        <v>968.7</v>
      </c>
      <c r="H321" s="224">
        <v>1905804</v>
      </c>
      <c r="I321" s="226">
        <v>0</v>
      </c>
      <c r="J321" s="224">
        <v>0</v>
      </c>
      <c r="K321" s="226">
        <v>0</v>
      </c>
      <c r="L321" s="224">
        <v>0</v>
      </c>
      <c r="M321" s="225">
        <v>0</v>
      </c>
      <c r="N321" s="224">
        <v>0</v>
      </c>
      <c r="O321" s="202"/>
    </row>
    <row r="322" spans="1:15" s="17" customFormat="1">
      <c r="A322" s="209">
        <v>283</v>
      </c>
      <c r="B322" s="227" t="s">
        <v>443</v>
      </c>
      <c r="C322" s="224">
        <v>958459</v>
      </c>
      <c r="D322" s="224">
        <v>0</v>
      </c>
      <c r="E322" s="225">
        <v>0</v>
      </c>
      <c r="F322" s="224">
        <v>0</v>
      </c>
      <c r="G322" s="224">
        <v>487.2</v>
      </c>
      <c r="H322" s="224">
        <v>958459</v>
      </c>
      <c r="I322" s="226">
        <v>0</v>
      </c>
      <c r="J322" s="224">
        <v>0</v>
      </c>
      <c r="K322" s="226">
        <v>0</v>
      </c>
      <c r="L322" s="224">
        <v>0</v>
      </c>
      <c r="M322" s="225">
        <v>0</v>
      </c>
      <c r="N322" s="224">
        <v>0</v>
      </c>
      <c r="O322" s="202"/>
    </row>
    <row r="323" spans="1:15" s="17" customFormat="1">
      <c r="A323" s="209">
        <v>284</v>
      </c>
      <c r="B323" s="227" t="s">
        <v>444</v>
      </c>
      <c r="C323" s="224">
        <v>947345</v>
      </c>
      <c r="D323" s="224">
        <v>0</v>
      </c>
      <c r="E323" s="225">
        <v>0</v>
      </c>
      <c r="F323" s="224">
        <v>0</v>
      </c>
      <c r="G323" s="224">
        <v>481.5</v>
      </c>
      <c r="H323" s="224">
        <v>947345</v>
      </c>
      <c r="I323" s="226">
        <v>0</v>
      </c>
      <c r="J323" s="224">
        <v>0</v>
      </c>
      <c r="K323" s="226">
        <v>0</v>
      </c>
      <c r="L323" s="224">
        <v>0</v>
      </c>
      <c r="M323" s="225">
        <v>0</v>
      </c>
      <c r="N323" s="224">
        <v>0</v>
      </c>
      <c r="O323" s="202"/>
    </row>
    <row r="324" spans="1:15" s="17" customFormat="1" ht="30">
      <c r="A324" s="209"/>
      <c r="B324" s="227" t="s">
        <v>625</v>
      </c>
      <c r="C324" s="224">
        <v>820660</v>
      </c>
      <c r="D324" s="224">
        <v>0</v>
      </c>
      <c r="E324" s="225">
        <v>0</v>
      </c>
      <c r="F324" s="224">
        <v>0</v>
      </c>
      <c r="G324" s="224">
        <v>406.8</v>
      </c>
      <c r="H324" s="224">
        <v>820660</v>
      </c>
      <c r="I324" s="226">
        <v>0</v>
      </c>
      <c r="J324" s="224">
        <v>0</v>
      </c>
      <c r="K324" s="226">
        <v>0</v>
      </c>
      <c r="L324" s="224">
        <v>0</v>
      </c>
      <c r="M324" s="225">
        <v>0</v>
      </c>
      <c r="N324" s="224">
        <v>0</v>
      </c>
      <c r="O324" s="202"/>
    </row>
    <row r="325" spans="1:15" s="17" customFormat="1">
      <c r="A325" s="209">
        <v>285</v>
      </c>
      <c r="B325" s="227" t="s">
        <v>445</v>
      </c>
      <c r="C325" s="224">
        <v>820660</v>
      </c>
      <c r="D325" s="224">
        <v>0</v>
      </c>
      <c r="E325" s="225">
        <v>0</v>
      </c>
      <c r="F325" s="224">
        <v>0</v>
      </c>
      <c r="G325" s="224">
        <v>406.8</v>
      </c>
      <c r="H325" s="224">
        <v>820660</v>
      </c>
      <c r="I325" s="226">
        <v>0</v>
      </c>
      <c r="J325" s="224">
        <v>0</v>
      </c>
      <c r="K325" s="226">
        <v>0</v>
      </c>
      <c r="L325" s="224">
        <v>0</v>
      </c>
      <c r="M325" s="225">
        <v>0</v>
      </c>
      <c r="N325" s="224">
        <v>0</v>
      </c>
      <c r="O325" s="202"/>
    </row>
    <row r="326" spans="1:15" s="17" customFormat="1" ht="30">
      <c r="A326" s="209"/>
      <c r="B326" s="227" t="s">
        <v>626</v>
      </c>
      <c r="C326" s="224">
        <v>3661058</v>
      </c>
      <c r="D326" s="224">
        <v>0</v>
      </c>
      <c r="E326" s="225">
        <v>0</v>
      </c>
      <c r="F326" s="224">
        <v>0</v>
      </c>
      <c r="G326" s="224">
        <v>683</v>
      </c>
      <c r="H326" s="224">
        <v>1364197</v>
      </c>
      <c r="I326" s="226">
        <v>0</v>
      </c>
      <c r="J326" s="224">
        <v>0</v>
      </c>
      <c r="K326" s="224">
        <v>1589</v>
      </c>
      <c r="L326" s="224">
        <v>2296861</v>
      </c>
      <c r="M326" s="225">
        <v>0</v>
      </c>
      <c r="N326" s="224">
        <v>0</v>
      </c>
      <c r="O326" s="202"/>
    </row>
    <row r="327" spans="1:15" s="17" customFormat="1" ht="30">
      <c r="A327" s="209">
        <v>286</v>
      </c>
      <c r="B327" s="227" t="s">
        <v>589</v>
      </c>
      <c r="C327" s="224">
        <v>1364197</v>
      </c>
      <c r="D327" s="224">
        <v>0</v>
      </c>
      <c r="E327" s="225">
        <v>0</v>
      </c>
      <c r="F327" s="224">
        <v>0</v>
      </c>
      <c r="G327" s="252">
        <v>683</v>
      </c>
      <c r="H327" s="224">
        <v>1364197</v>
      </c>
      <c r="I327" s="226">
        <v>0</v>
      </c>
      <c r="J327" s="224">
        <v>0</v>
      </c>
      <c r="K327" s="226">
        <v>0</v>
      </c>
      <c r="L327" s="224">
        <v>0</v>
      </c>
      <c r="M327" s="225">
        <v>0</v>
      </c>
      <c r="N327" s="224">
        <v>0</v>
      </c>
      <c r="O327" s="202"/>
    </row>
    <row r="328" spans="1:15" s="17" customFormat="1">
      <c r="A328" s="209">
        <v>287</v>
      </c>
      <c r="B328" s="227" t="s">
        <v>446</v>
      </c>
      <c r="C328" s="224">
        <v>2296861</v>
      </c>
      <c r="D328" s="224">
        <v>0</v>
      </c>
      <c r="E328" s="225">
        <v>0</v>
      </c>
      <c r="F328" s="224">
        <v>0</v>
      </c>
      <c r="G328" s="224">
        <v>0</v>
      </c>
      <c r="H328" s="224">
        <v>0</v>
      </c>
      <c r="I328" s="226">
        <v>0</v>
      </c>
      <c r="J328" s="224">
        <v>0</v>
      </c>
      <c r="K328" s="230">
        <v>1589</v>
      </c>
      <c r="L328" s="224">
        <v>2296861</v>
      </c>
      <c r="M328" s="225">
        <v>0</v>
      </c>
      <c r="N328" s="224">
        <v>0</v>
      </c>
      <c r="O328" s="202"/>
    </row>
    <row r="329" spans="1:15" s="16" customFormat="1">
      <c r="A329" s="209"/>
      <c r="B329" s="233" t="s">
        <v>55</v>
      </c>
      <c r="C329" s="224">
        <v>13937333</v>
      </c>
      <c r="D329" s="224">
        <v>0</v>
      </c>
      <c r="E329" s="225">
        <v>0</v>
      </c>
      <c r="F329" s="224">
        <v>0</v>
      </c>
      <c r="G329" s="224">
        <v>7009.65</v>
      </c>
      <c r="H329" s="224">
        <v>13937333</v>
      </c>
      <c r="I329" s="226">
        <v>0</v>
      </c>
      <c r="J329" s="224">
        <v>0</v>
      </c>
      <c r="K329" s="226">
        <v>0</v>
      </c>
      <c r="L329" s="224">
        <v>0</v>
      </c>
      <c r="M329" s="225">
        <v>0</v>
      </c>
      <c r="N329" s="224">
        <v>0</v>
      </c>
      <c r="O329" s="202"/>
    </row>
    <row r="330" spans="1:15" ht="30">
      <c r="A330" s="209"/>
      <c r="B330" s="227" t="s">
        <v>627</v>
      </c>
      <c r="C330" s="224">
        <v>13937333</v>
      </c>
      <c r="D330" s="224">
        <v>0</v>
      </c>
      <c r="E330" s="225">
        <v>0</v>
      </c>
      <c r="F330" s="224">
        <v>0</v>
      </c>
      <c r="G330" s="224">
        <v>7009.65</v>
      </c>
      <c r="H330" s="224">
        <v>13937333</v>
      </c>
      <c r="I330" s="226">
        <v>0</v>
      </c>
      <c r="J330" s="224">
        <v>0</v>
      </c>
      <c r="K330" s="226">
        <v>0</v>
      </c>
      <c r="L330" s="224">
        <v>0</v>
      </c>
      <c r="M330" s="225">
        <v>0</v>
      </c>
      <c r="N330" s="224">
        <v>0</v>
      </c>
      <c r="O330" s="202"/>
    </row>
    <row r="331" spans="1:15">
      <c r="A331" s="209">
        <v>288</v>
      </c>
      <c r="B331" s="227" t="s">
        <v>448</v>
      </c>
      <c r="C331" s="224">
        <v>1075050</v>
      </c>
      <c r="D331" s="224">
        <v>0</v>
      </c>
      <c r="E331" s="225">
        <v>0</v>
      </c>
      <c r="F331" s="224">
        <v>0</v>
      </c>
      <c r="G331" s="253">
        <v>536.4</v>
      </c>
      <c r="H331" s="224">
        <v>1075050</v>
      </c>
      <c r="I331" s="226">
        <v>0</v>
      </c>
      <c r="J331" s="224">
        <v>0</v>
      </c>
      <c r="K331" s="226">
        <v>0</v>
      </c>
      <c r="L331" s="224">
        <v>0</v>
      </c>
      <c r="M331" s="225">
        <v>0</v>
      </c>
      <c r="N331" s="224">
        <v>0</v>
      </c>
      <c r="O331" s="202"/>
    </row>
    <row r="332" spans="1:15">
      <c r="A332" s="209">
        <v>289</v>
      </c>
      <c r="B332" s="227" t="s">
        <v>447</v>
      </c>
      <c r="C332" s="224">
        <v>1046724</v>
      </c>
      <c r="D332" s="224">
        <v>0</v>
      </c>
      <c r="E332" s="225">
        <v>0</v>
      </c>
      <c r="F332" s="224">
        <v>0</v>
      </c>
      <c r="G332" s="253">
        <v>522</v>
      </c>
      <c r="H332" s="224">
        <v>1046724</v>
      </c>
      <c r="I332" s="226">
        <v>0</v>
      </c>
      <c r="J332" s="224">
        <v>0</v>
      </c>
      <c r="K332" s="226">
        <v>0</v>
      </c>
      <c r="L332" s="224">
        <v>0</v>
      </c>
      <c r="M332" s="225">
        <v>0</v>
      </c>
      <c r="N332" s="224">
        <v>0</v>
      </c>
      <c r="O332" s="202"/>
    </row>
    <row r="333" spans="1:15">
      <c r="A333" s="209">
        <v>290</v>
      </c>
      <c r="B333" s="227" t="s">
        <v>310</v>
      </c>
      <c r="C333" s="224">
        <v>998999</v>
      </c>
      <c r="D333" s="224">
        <v>0</v>
      </c>
      <c r="E333" s="225">
        <v>0</v>
      </c>
      <c r="F333" s="224">
        <v>0</v>
      </c>
      <c r="G333" s="253">
        <v>503</v>
      </c>
      <c r="H333" s="224">
        <v>998999</v>
      </c>
      <c r="I333" s="226">
        <v>0</v>
      </c>
      <c r="J333" s="224">
        <v>0</v>
      </c>
      <c r="K333" s="226">
        <v>0</v>
      </c>
      <c r="L333" s="224">
        <v>0</v>
      </c>
      <c r="M333" s="225">
        <v>0</v>
      </c>
      <c r="N333" s="224">
        <v>0</v>
      </c>
      <c r="O333" s="202"/>
    </row>
    <row r="334" spans="1:15">
      <c r="A334" s="209">
        <v>291</v>
      </c>
      <c r="B334" s="227" t="s">
        <v>454</v>
      </c>
      <c r="C334" s="224">
        <v>1992031</v>
      </c>
      <c r="D334" s="224">
        <v>0</v>
      </c>
      <c r="E334" s="225">
        <v>0</v>
      </c>
      <c r="F334" s="224">
        <v>0</v>
      </c>
      <c r="G334" s="253">
        <v>1008</v>
      </c>
      <c r="H334" s="224">
        <v>1992031</v>
      </c>
      <c r="I334" s="226">
        <v>0</v>
      </c>
      <c r="J334" s="224">
        <v>0</v>
      </c>
      <c r="K334" s="226">
        <v>0</v>
      </c>
      <c r="L334" s="224">
        <v>0</v>
      </c>
      <c r="M334" s="225">
        <v>0</v>
      </c>
      <c r="N334" s="224">
        <v>0</v>
      </c>
      <c r="O334" s="202"/>
    </row>
    <row r="335" spans="1:15">
      <c r="A335" s="209">
        <v>292</v>
      </c>
      <c r="B335" s="227" t="s">
        <v>451</v>
      </c>
      <c r="C335" s="224">
        <v>1147227</v>
      </c>
      <c r="D335" s="224">
        <v>0</v>
      </c>
      <c r="E335" s="225">
        <v>0</v>
      </c>
      <c r="F335" s="224">
        <v>0</v>
      </c>
      <c r="G335" s="253">
        <v>576</v>
      </c>
      <c r="H335" s="224">
        <v>1147227</v>
      </c>
      <c r="I335" s="226">
        <v>0</v>
      </c>
      <c r="J335" s="224">
        <v>0</v>
      </c>
      <c r="K335" s="226">
        <v>0</v>
      </c>
      <c r="L335" s="224">
        <v>0</v>
      </c>
      <c r="M335" s="225">
        <v>0</v>
      </c>
      <c r="N335" s="224">
        <v>0</v>
      </c>
      <c r="O335" s="202"/>
    </row>
    <row r="336" spans="1:15">
      <c r="A336" s="209">
        <v>293</v>
      </c>
      <c r="B336" s="227" t="s">
        <v>450</v>
      </c>
      <c r="C336" s="224">
        <v>1090541</v>
      </c>
      <c r="D336" s="224">
        <v>0</v>
      </c>
      <c r="E336" s="225">
        <v>0</v>
      </c>
      <c r="F336" s="224">
        <v>0</v>
      </c>
      <c r="G336" s="253">
        <v>544.25</v>
      </c>
      <c r="H336" s="224">
        <v>1090541</v>
      </c>
      <c r="I336" s="226">
        <v>0</v>
      </c>
      <c r="J336" s="224">
        <v>0</v>
      </c>
      <c r="K336" s="226">
        <v>0</v>
      </c>
      <c r="L336" s="224">
        <v>0</v>
      </c>
      <c r="M336" s="225">
        <v>0</v>
      </c>
      <c r="N336" s="224">
        <v>0</v>
      </c>
      <c r="O336" s="202"/>
    </row>
    <row r="337" spans="1:15">
      <c r="A337" s="209">
        <v>294</v>
      </c>
      <c r="B337" s="227" t="s">
        <v>452</v>
      </c>
      <c r="C337" s="224">
        <v>2639289</v>
      </c>
      <c r="D337" s="224">
        <v>0</v>
      </c>
      <c r="E337" s="225">
        <v>0</v>
      </c>
      <c r="F337" s="224">
        <v>0</v>
      </c>
      <c r="G337" s="253">
        <v>1338.8</v>
      </c>
      <c r="H337" s="224">
        <v>2639289</v>
      </c>
      <c r="I337" s="226">
        <v>0</v>
      </c>
      <c r="J337" s="224">
        <v>0</v>
      </c>
      <c r="K337" s="226">
        <v>0</v>
      </c>
      <c r="L337" s="224">
        <v>0</v>
      </c>
      <c r="M337" s="225">
        <v>0</v>
      </c>
      <c r="N337" s="224">
        <v>0</v>
      </c>
      <c r="O337" s="202"/>
    </row>
    <row r="338" spans="1:15">
      <c r="A338" s="209">
        <v>295</v>
      </c>
      <c r="B338" s="227" t="s">
        <v>453</v>
      </c>
      <c r="C338" s="224">
        <v>2195667</v>
      </c>
      <c r="D338" s="224">
        <v>0</v>
      </c>
      <c r="E338" s="225">
        <v>0</v>
      </c>
      <c r="F338" s="224">
        <v>0</v>
      </c>
      <c r="G338" s="253">
        <v>1112</v>
      </c>
      <c r="H338" s="224">
        <v>2195667</v>
      </c>
      <c r="I338" s="226">
        <v>0</v>
      </c>
      <c r="J338" s="224">
        <v>0</v>
      </c>
      <c r="K338" s="226">
        <v>0</v>
      </c>
      <c r="L338" s="224">
        <v>0</v>
      </c>
      <c r="M338" s="225">
        <v>0</v>
      </c>
      <c r="N338" s="224">
        <v>0</v>
      </c>
      <c r="O338" s="202"/>
    </row>
    <row r="339" spans="1:15">
      <c r="A339" s="209">
        <v>296</v>
      </c>
      <c r="B339" s="227" t="s">
        <v>562</v>
      </c>
      <c r="C339" s="224">
        <v>780669</v>
      </c>
      <c r="D339" s="224">
        <v>0</v>
      </c>
      <c r="E339" s="225">
        <v>0</v>
      </c>
      <c r="F339" s="224">
        <v>0</v>
      </c>
      <c r="G339" s="253">
        <v>386.2</v>
      </c>
      <c r="H339" s="224">
        <v>780669</v>
      </c>
      <c r="I339" s="226">
        <v>0</v>
      </c>
      <c r="J339" s="224">
        <v>0</v>
      </c>
      <c r="K339" s="226">
        <v>0</v>
      </c>
      <c r="L339" s="224">
        <v>0</v>
      </c>
      <c r="M339" s="225">
        <v>0</v>
      </c>
      <c r="N339" s="224">
        <v>0</v>
      </c>
      <c r="O339" s="202"/>
    </row>
    <row r="340" spans="1:15">
      <c r="A340" s="209">
        <v>297</v>
      </c>
      <c r="B340" s="227" t="s">
        <v>455</v>
      </c>
      <c r="C340" s="224">
        <v>971136</v>
      </c>
      <c r="D340" s="224">
        <v>0</v>
      </c>
      <c r="E340" s="225">
        <v>0</v>
      </c>
      <c r="F340" s="224">
        <v>0</v>
      </c>
      <c r="G340" s="253">
        <v>483</v>
      </c>
      <c r="H340" s="224">
        <v>971136</v>
      </c>
      <c r="I340" s="226">
        <v>0</v>
      </c>
      <c r="J340" s="224">
        <v>0</v>
      </c>
      <c r="K340" s="226">
        <v>0</v>
      </c>
      <c r="L340" s="224">
        <v>0</v>
      </c>
      <c r="M340" s="225">
        <v>0</v>
      </c>
      <c r="N340" s="224">
        <v>0</v>
      </c>
      <c r="O340" s="202"/>
    </row>
    <row r="341" spans="1:15">
      <c r="A341" s="209"/>
      <c r="B341" s="233" t="s">
        <v>56</v>
      </c>
      <c r="C341" s="224">
        <v>13321832</v>
      </c>
      <c r="D341" s="224">
        <v>148073</v>
      </c>
      <c r="E341" s="225">
        <v>0</v>
      </c>
      <c r="F341" s="224">
        <v>0</v>
      </c>
      <c r="G341" s="224">
        <v>6258.7000000000007</v>
      </c>
      <c r="H341" s="224">
        <v>12532204</v>
      </c>
      <c r="I341" s="226">
        <v>0</v>
      </c>
      <c r="J341" s="224">
        <v>0</v>
      </c>
      <c r="K341" s="224">
        <v>440.1</v>
      </c>
      <c r="L341" s="224">
        <v>641555</v>
      </c>
      <c r="M341" s="225">
        <v>0</v>
      </c>
      <c r="N341" s="224">
        <v>0</v>
      </c>
      <c r="O341" s="202"/>
    </row>
    <row r="342" spans="1:15" ht="30">
      <c r="A342" s="209"/>
      <c r="B342" s="227" t="s">
        <v>628</v>
      </c>
      <c r="C342" s="224">
        <v>13321832</v>
      </c>
      <c r="D342" s="224">
        <v>148073</v>
      </c>
      <c r="E342" s="225">
        <v>0</v>
      </c>
      <c r="F342" s="224">
        <v>0</v>
      </c>
      <c r="G342" s="224">
        <v>6258.7000000000007</v>
      </c>
      <c r="H342" s="224">
        <v>12532204</v>
      </c>
      <c r="I342" s="226">
        <v>0</v>
      </c>
      <c r="J342" s="224">
        <v>0</v>
      </c>
      <c r="K342" s="224">
        <v>440.1</v>
      </c>
      <c r="L342" s="224">
        <v>641555</v>
      </c>
      <c r="M342" s="225">
        <v>0</v>
      </c>
      <c r="N342" s="224">
        <v>0</v>
      </c>
      <c r="O342" s="202"/>
    </row>
    <row r="343" spans="1:15">
      <c r="A343" s="209">
        <v>298</v>
      </c>
      <c r="B343" s="227" t="s">
        <v>463</v>
      </c>
      <c r="C343" s="224">
        <v>499459</v>
      </c>
      <c r="D343" s="224">
        <v>0</v>
      </c>
      <c r="E343" s="225">
        <v>0</v>
      </c>
      <c r="F343" s="224">
        <v>0</v>
      </c>
      <c r="G343" s="224">
        <v>243.1</v>
      </c>
      <c r="H343" s="224">
        <v>499459</v>
      </c>
      <c r="I343" s="226">
        <v>0</v>
      </c>
      <c r="J343" s="224">
        <v>0</v>
      </c>
      <c r="K343" s="226">
        <v>0</v>
      </c>
      <c r="L343" s="224">
        <v>0</v>
      </c>
      <c r="M343" s="225">
        <v>0</v>
      </c>
      <c r="N343" s="224">
        <v>0</v>
      </c>
      <c r="O343" s="202"/>
    </row>
    <row r="344" spans="1:15">
      <c r="A344" s="209">
        <v>299</v>
      </c>
      <c r="B344" s="227" t="s">
        <v>458</v>
      </c>
      <c r="C344" s="224">
        <v>1013142</v>
      </c>
      <c r="D344" s="224">
        <v>0</v>
      </c>
      <c r="E344" s="225">
        <v>0</v>
      </c>
      <c r="F344" s="224">
        <v>0</v>
      </c>
      <c r="G344" s="224">
        <v>505.3</v>
      </c>
      <c r="H344" s="224">
        <v>1013142</v>
      </c>
      <c r="I344" s="226">
        <v>0</v>
      </c>
      <c r="J344" s="224">
        <v>0</v>
      </c>
      <c r="K344" s="226">
        <v>0</v>
      </c>
      <c r="L344" s="224">
        <v>0</v>
      </c>
      <c r="M344" s="225">
        <v>0</v>
      </c>
      <c r="N344" s="224">
        <v>0</v>
      </c>
      <c r="O344" s="202"/>
    </row>
    <row r="345" spans="1:15">
      <c r="A345" s="209">
        <v>300</v>
      </c>
      <c r="B345" s="227" t="s">
        <v>459</v>
      </c>
      <c r="C345" s="224">
        <v>710212</v>
      </c>
      <c r="D345" s="224">
        <v>0</v>
      </c>
      <c r="E345" s="225">
        <v>0</v>
      </c>
      <c r="F345" s="224">
        <v>0</v>
      </c>
      <c r="G345" s="224">
        <v>360.1</v>
      </c>
      <c r="H345" s="224">
        <v>710212</v>
      </c>
      <c r="I345" s="226">
        <v>0</v>
      </c>
      <c r="J345" s="224">
        <v>0</v>
      </c>
      <c r="K345" s="226">
        <v>0</v>
      </c>
      <c r="L345" s="224">
        <v>0</v>
      </c>
      <c r="M345" s="225">
        <v>0</v>
      </c>
      <c r="N345" s="224">
        <v>0</v>
      </c>
      <c r="O345" s="202"/>
    </row>
    <row r="346" spans="1:15">
      <c r="A346" s="209">
        <v>301</v>
      </c>
      <c r="B346" s="227" t="s">
        <v>123</v>
      </c>
      <c r="C346" s="224">
        <v>89866</v>
      </c>
      <c r="D346" s="224">
        <v>89866</v>
      </c>
      <c r="E346" s="225">
        <v>0</v>
      </c>
      <c r="F346" s="224">
        <v>0</v>
      </c>
      <c r="G346" s="224">
        <v>0</v>
      </c>
      <c r="H346" s="224">
        <v>0</v>
      </c>
      <c r="I346" s="226">
        <v>0</v>
      </c>
      <c r="J346" s="224">
        <v>0</v>
      </c>
      <c r="K346" s="226">
        <v>0</v>
      </c>
      <c r="L346" s="224">
        <v>0</v>
      </c>
      <c r="M346" s="225">
        <v>0</v>
      </c>
      <c r="N346" s="224">
        <v>0</v>
      </c>
      <c r="O346" s="202"/>
    </row>
    <row r="347" spans="1:15">
      <c r="A347" s="209">
        <v>302</v>
      </c>
      <c r="B347" s="227" t="s">
        <v>466</v>
      </c>
      <c r="C347" s="224">
        <v>848302</v>
      </c>
      <c r="D347" s="224">
        <v>0</v>
      </c>
      <c r="E347" s="225">
        <v>0</v>
      </c>
      <c r="F347" s="224">
        <v>0</v>
      </c>
      <c r="G347" s="224">
        <v>421.2</v>
      </c>
      <c r="H347" s="224">
        <v>848302</v>
      </c>
      <c r="I347" s="226">
        <v>0</v>
      </c>
      <c r="J347" s="224">
        <v>0</v>
      </c>
      <c r="K347" s="226">
        <v>0</v>
      </c>
      <c r="L347" s="224">
        <v>0</v>
      </c>
      <c r="M347" s="225">
        <v>0</v>
      </c>
      <c r="N347" s="224">
        <v>0</v>
      </c>
      <c r="O347" s="202"/>
    </row>
    <row r="348" spans="1:15">
      <c r="A348" s="209">
        <v>303</v>
      </c>
      <c r="B348" s="227" t="s">
        <v>460</v>
      </c>
      <c r="C348" s="224">
        <v>684324</v>
      </c>
      <c r="D348" s="224">
        <v>0</v>
      </c>
      <c r="E348" s="225">
        <v>0</v>
      </c>
      <c r="F348" s="224">
        <v>0</v>
      </c>
      <c r="G348" s="224">
        <v>337.4</v>
      </c>
      <c r="H348" s="224">
        <v>684324</v>
      </c>
      <c r="I348" s="226">
        <v>0</v>
      </c>
      <c r="J348" s="224">
        <v>0</v>
      </c>
      <c r="K348" s="226">
        <v>0</v>
      </c>
      <c r="L348" s="224">
        <v>0</v>
      </c>
      <c r="M348" s="225">
        <v>0</v>
      </c>
      <c r="N348" s="224">
        <v>0</v>
      </c>
      <c r="O348" s="202"/>
    </row>
    <row r="349" spans="1:15">
      <c r="A349" s="209">
        <v>304</v>
      </c>
      <c r="B349" s="227" t="s">
        <v>461</v>
      </c>
      <c r="C349" s="224">
        <v>834322</v>
      </c>
      <c r="D349" s="224">
        <v>0</v>
      </c>
      <c r="E349" s="225">
        <v>0</v>
      </c>
      <c r="F349" s="224">
        <v>0</v>
      </c>
      <c r="G349" s="224">
        <v>414</v>
      </c>
      <c r="H349" s="224">
        <v>834322</v>
      </c>
      <c r="I349" s="226">
        <v>0</v>
      </c>
      <c r="J349" s="224">
        <v>0</v>
      </c>
      <c r="K349" s="226">
        <v>0</v>
      </c>
      <c r="L349" s="224">
        <v>0</v>
      </c>
      <c r="M349" s="225">
        <v>0</v>
      </c>
      <c r="N349" s="224">
        <v>0</v>
      </c>
      <c r="O349" s="202"/>
    </row>
    <row r="350" spans="1:15">
      <c r="A350" s="209">
        <v>305</v>
      </c>
      <c r="B350" s="227" t="s">
        <v>313</v>
      </c>
      <c r="C350" s="224">
        <v>1709340</v>
      </c>
      <c r="D350" s="224">
        <v>0</v>
      </c>
      <c r="E350" s="225">
        <v>0</v>
      </c>
      <c r="F350" s="224">
        <v>0</v>
      </c>
      <c r="G350" s="224">
        <v>863.6</v>
      </c>
      <c r="H350" s="224">
        <v>1709340</v>
      </c>
      <c r="I350" s="226">
        <v>0</v>
      </c>
      <c r="J350" s="224">
        <v>0</v>
      </c>
      <c r="K350" s="226">
        <v>0</v>
      </c>
      <c r="L350" s="224">
        <v>0</v>
      </c>
      <c r="M350" s="225">
        <v>0</v>
      </c>
      <c r="N350" s="224">
        <v>0</v>
      </c>
      <c r="O350" s="202"/>
    </row>
    <row r="351" spans="1:15">
      <c r="A351" s="209">
        <v>306</v>
      </c>
      <c r="B351" s="227" t="s">
        <v>314</v>
      </c>
      <c r="C351" s="224">
        <v>1716229</v>
      </c>
      <c r="D351" s="224">
        <v>0</v>
      </c>
      <c r="E351" s="225">
        <v>0</v>
      </c>
      <c r="F351" s="224">
        <v>0</v>
      </c>
      <c r="G351" s="224">
        <v>867.3</v>
      </c>
      <c r="H351" s="224">
        <v>1716229</v>
      </c>
      <c r="I351" s="226">
        <v>0</v>
      </c>
      <c r="J351" s="224">
        <v>0</v>
      </c>
      <c r="K351" s="226">
        <v>0</v>
      </c>
      <c r="L351" s="224">
        <v>0</v>
      </c>
      <c r="M351" s="225">
        <v>0</v>
      </c>
      <c r="N351" s="224">
        <v>0</v>
      </c>
      <c r="O351" s="202"/>
    </row>
    <row r="352" spans="1:15">
      <c r="A352" s="209">
        <v>307</v>
      </c>
      <c r="B352" s="227" t="s">
        <v>462</v>
      </c>
      <c r="C352" s="224">
        <v>1825533</v>
      </c>
      <c r="D352" s="224">
        <v>0</v>
      </c>
      <c r="E352" s="225">
        <v>0</v>
      </c>
      <c r="F352" s="224">
        <v>0</v>
      </c>
      <c r="G352" s="224">
        <v>920.3</v>
      </c>
      <c r="H352" s="224">
        <v>1825533</v>
      </c>
      <c r="I352" s="226">
        <v>0</v>
      </c>
      <c r="J352" s="224">
        <v>0</v>
      </c>
      <c r="K352" s="226">
        <v>0</v>
      </c>
      <c r="L352" s="224">
        <v>0</v>
      </c>
      <c r="M352" s="225">
        <v>0</v>
      </c>
      <c r="N352" s="224">
        <v>0</v>
      </c>
      <c r="O352" s="202"/>
    </row>
    <row r="353" spans="1:15">
      <c r="A353" s="209">
        <v>308</v>
      </c>
      <c r="B353" s="227" t="s">
        <v>464</v>
      </c>
      <c r="C353" s="224">
        <v>591280</v>
      </c>
      <c r="D353" s="224">
        <v>0</v>
      </c>
      <c r="E353" s="225">
        <v>0</v>
      </c>
      <c r="F353" s="224">
        <v>0</v>
      </c>
      <c r="G353" s="224">
        <v>290</v>
      </c>
      <c r="H353" s="224">
        <v>591280</v>
      </c>
      <c r="I353" s="226">
        <v>0</v>
      </c>
      <c r="J353" s="224">
        <v>0</v>
      </c>
      <c r="K353" s="226">
        <v>0</v>
      </c>
      <c r="L353" s="224">
        <v>0</v>
      </c>
      <c r="M353" s="225">
        <v>0</v>
      </c>
      <c r="N353" s="224">
        <v>0</v>
      </c>
      <c r="O353" s="202"/>
    </row>
    <row r="354" spans="1:15">
      <c r="A354" s="209">
        <v>309</v>
      </c>
      <c r="B354" s="227" t="s">
        <v>457</v>
      </c>
      <c r="C354" s="224">
        <v>519279</v>
      </c>
      <c r="D354" s="224">
        <v>58207</v>
      </c>
      <c r="E354" s="225">
        <v>0</v>
      </c>
      <c r="F354" s="224">
        <v>0</v>
      </c>
      <c r="G354" s="224">
        <v>223.5</v>
      </c>
      <c r="H354" s="224">
        <v>461072</v>
      </c>
      <c r="I354" s="226">
        <v>0</v>
      </c>
      <c r="J354" s="224">
        <v>0</v>
      </c>
      <c r="K354" s="226">
        <v>0</v>
      </c>
      <c r="L354" s="224">
        <v>0</v>
      </c>
      <c r="M354" s="225">
        <v>0</v>
      </c>
      <c r="N354" s="224">
        <v>0</v>
      </c>
      <c r="O354" s="202"/>
    </row>
    <row r="355" spans="1:15">
      <c r="A355" s="209">
        <v>310</v>
      </c>
      <c r="B355" s="227" t="s">
        <v>465</v>
      </c>
      <c r="C355" s="224">
        <v>886584</v>
      </c>
      <c r="D355" s="224">
        <v>0</v>
      </c>
      <c r="E355" s="225">
        <v>0</v>
      </c>
      <c r="F355" s="224">
        <v>0</v>
      </c>
      <c r="G355" s="224">
        <v>440.8</v>
      </c>
      <c r="H355" s="224">
        <v>886584</v>
      </c>
      <c r="I355" s="226">
        <v>0</v>
      </c>
      <c r="J355" s="224">
        <v>0</v>
      </c>
      <c r="K355" s="226">
        <v>0</v>
      </c>
      <c r="L355" s="224">
        <v>0</v>
      </c>
      <c r="M355" s="225">
        <v>0</v>
      </c>
      <c r="N355" s="224">
        <v>0</v>
      </c>
      <c r="O355" s="202"/>
    </row>
    <row r="356" spans="1:15">
      <c r="A356" s="209">
        <v>311</v>
      </c>
      <c r="B356" s="227" t="s">
        <v>456</v>
      </c>
      <c r="C356" s="224">
        <v>1393960</v>
      </c>
      <c r="D356" s="224">
        <v>0</v>
      </c>
      <c r="E356" s="225">
        <v>0</v>
      </c>
      <c r="F356" s="224">
        <v>0</v>
      </c>
      <c r="G356" s="224">
        <v>372.1</v>
      </c>
      <c r="H356" s="224">
        <v>752405</v>
      </c>
      <c r="I356" s="226">
        <v>0</v>
      </c>
      <c r="J356" s="224">
        <v>0</v>
      </c>
      <c r="K356" s="224">
        <v>440.1</v>
      </c>
      <c r="L356" s="224">
        <v>641555</v>
      </c>
      <c r="M356" s="225">
        <v>0</v>
      </c>
      <c r="N356" s="224">
        <v>0</v>
      </c>
      <c r="O356" s="202"/>
    </row>
    <row r="357" spans="1:15" s="16" customFormat="1">
      <c r="A357" s="209"/>
      <c r="B357" s="233" t="s">
        <v>57</v>
      </c>
      <c r="C357" s="224">
        <v>3908951</v>
      </c>
      <c r="D357" s="224">
        <v>201010</v>
      </c>
      <c r="E357" s="225">
        <v>0</v>
      </c>
      <c r="F357" s="224">
        <v>0</v>
      </c>
      <c r="G357" s="224">
        <v>1869.42</v>
      </c>
      <c r="H357" s="224">
        <v>3707941</v>
      </c>
      <c r="I357" s="226">
        <v>0</v>
      </c>
      <c r="J357" s="224">
        <v>0</v>
      </c>
      <c r="K357" s="226">
        <v>0</v>
      </c>
      <c r="L357" s="224">
        <v>0</v>
      </c>
      <c r="M357" s="225">
        <v>0</v>
      </c>
      <c r="N357" s="224">
        <v>0</v>
      </c>
      <c r="O357" s="202"/>
    </row>
    <row r="358" spans="1:15" s="17" customFormat="1" ht="45">
      <c r="A358" s="209"/>
      <c r="B358" s="227" t="s">
        <v>629</v>
      </c>
      <c r="C358" s="224">
        <v>2616605</v>
      </c>
      <c r="D358" s="224">
        <v>0</v>
      </c>
      <c r="E358" s="226">
        <v>0</v>
      </c>
      <c r="F358" s="224">
        <v>0</v>
      </c>
      <c r="G358" s="224">
        <v>1315</v>
      </c>
      <c r="H358" s="224">
        <v>2616605</v>
      </c>
      <c r="I358" s="226">
        <v>0</v>
      </c>
      <c r="J358" s="224">
        <v>0</v>
      </c>
      <c r="K358" s="226">
        <v>0</v>
      </c>
      <c r="L358" s="224">
        <v>0</v>
      </c>
      <c r="M358" s="226">
        <v>0</v>
      </c>
      <c r="N358" s="224">
        <v>0</v>
      </c>
      <c r="O358" s="202"/>
    </row>
    <row r="359" spans="1:15" s="16" customFormat="1">
      <c r="A359" s="209">
        <v>312</v>
      </c>
      <c r="B359" s="227" t="s">
        <v>467</v>
      </c>
      <c r="C359" s="224">
        <v>1653452</v>
      </c>
      <c r="D359" s="224">
        <v>0</v>
      </c>
      <c r="E359" s="226">
        <v>0</v>
      </c>
      <c r="F359" s="224">
        <v>0</v>
      </c>
      <c r="G359" s="229">
        <v>835</v>
      </c>
      <c r="H359" s="224">
        <v>1653452</v>
      </c>
      <c r="I359" s="226">
        <v>0</v>
      </c>
      <c r="J359" s="224">
        <v>0</v>
      </c>
      <c r="K359" s="226">
        <v>0</v>
      </c>
      <c r="L359" s="224">
        <v>0</v>
      </c>
      <c r="M359" s="226">
        <v>0</v>
      </c>
      <c r="N359" s="224">
        <v>0</v>
      </c>
      <c r="O359" s="202"/>
    </row>
    <row r="360" spans="1:15" s="16" customFormat="1">
      <c r="A360" s="209">
        <v>313</v>
      </c>
      <c r="B360" s="227" t="s">
        <v>468</v>
      </c>
      <c r="C360" s="224">
        <v>963153</v>
      </c>
      <c r="D360" s="224">
        <v>0</v>
      </c>
      <c r="E360" s="226">
        <v>0</v>
      </c>
      <c r="F360" s="224">
        <v>0</v>
      </c>
      <c r="G360" s="229">
        <v>480</v>
      </c>
      <c r="H360" s="224">
        <v>963153</v>
      </c>
      <c r="I360" s="226">
        <v>0</v>
      </c>
      <c r="J360" s="224">
        <v>0</v>
      </c>
      <c r="K360" s="226">
        <v>0</v>
      </c>
      <c r="L360" s="224">
        <v>0</v>
      </c>
      <c r="M360" s="226">
        <v>0</v>
      </c>
      <c r="N360" s="224">
        <v>0</v>
      </c>
      <c r="O360" s="202"/>
    </row>
    <row r="361" spans="1:15" ht="30">
      <c r="A361" s="209"/>
      <c r="B361" s="227" t="s">
        <v>630</v>
      </c>
      <c r="C361" s="224">
        <v>201010</v>
      </c>
      <c r="D361" s="224">
        <v>201010</v>
      </c>
      <c r="E361" s="225">
        <v>0</v>
      </c>
      <c r="F361" s="224">
        <v>0</v>
      </c>
      <c r="G361" s="224">
        <v>0</v>
      </c>
      <c r="H361" s="224">
        <v>0</v>
      </c>
      <c r="I361" s="226">
        <v>0</v>
      </c>
      <c r="J361" s="224">
        <v>0</v>
      </c>
      <c r="K361" s="226">
        <v>0</v>
      </c>
      <c r="L361" s="224">
        <v>0</v>
      </c>
      <c r="M361" s="225">
        <v>0</v>
      </c>
      <c r="N361" s="224">
        <v>0</v>
      </c>
      <c r="O361" s="202"/>
    </row>
    <row r="362" spans="1:15">
      <c r="A362" s="209">
        <v>314</v>
      </c>
      <c r="B362" s="233" t="s">
        <v>469</v>
      </c>
      <c r="C362" s="224">
        <v>201010</v>
      </c>
      <c r="D362" s="224">
        <v>201010</v>
      </c>
      <c r="E362" s="225">
        <v>0</v>
      </c>
      <c r="F362" s="224">
        <v>0</v>
      </c>
      <c r="G362" s="224">
        <v>0</v>
      </c>
      <c r="H362" s="224">
        <v>0</v>
      </c>
      <c r="I362" s="226">
        <v>0</v>
      </c>
      <c r="J362" s="224">
        <v>0</v>
      </c>
      <c r="K362" s="226">
        <v>0</v>
      </c>
      <c r="L362" s="224">
        <v>0</v>
      </c>
      <c r="M362" s="225">
        <v>0</v>
      </c>
      <c r="N362" s="224">
        <v>0</v>
      </c>
      <c r="O362" s="202"/>
    </row>
    <row r="363" spans="1:15" ht="30">
      <c r="A363" s="209"/>
      <c r="B363" s="227" t="s">
        <v>631</v>
      </c>
      <c r="C363" s="224">
        <v>1091336</v>
      </c>
      <c r="D363" s="224">
        <v>0</v>
      </c>
      <c r="E363" s="225">
        <v>0</v>
      </c>
      <c r="F363" s="224">
        <v>0</v>
      </c>
      <c r="G363" s="224">
        <v>554.41999999999996</v>
      </c>
      <c r="H363" s="224">
        <v>1091336</v>
      </c>
      <c r="I363" s="226">
        <v>0</v>
      </c>
      <c r="J363" s="224">
        <v>0</v>
      </c>
      <c r="K363" s="226">
        <v>0</v>
      </c>
      <c r="L363" s="224">
        <v>0</v>
      </c>
      <c r="M363" s="225">
        <v>0</v>
      </c>
      <c r="N363" s="224">
        <v>0</v>
      </c>
      <c r="O363" s="202"/>
    </row>
    <row r="364" spans="1:15" ht="30">
      <c r="A364" s="209">
        <v>315</v>
      </c>
      <c r="B364" s="227" t="s">
        <v>563</v>
      </c>
      <c r="C364" s="224">
        <v>1091336</v>
      </c>
      <c r="D364" s="224">
        <v>0</v>
      </c>
      <c r="E364" s="225">
        <v>0</v>
      </c>
      <c r="F364" s="224">
        <v>0</v>
      </c>
      <c r="G364" s="224">
        <v>554.41999999999996</v>
      </c>
      <c r="H364" s="224">
        <v>1091336</v>
      </c>
      <c r="I364" s="226">
        <v>0</v>
      </c>
      <c r="J364" s="224">
        <v>0</v>
      </c>
      <c r="K364" s="226">
        <v>0</v>
      </c>
      <c r="L364" s="224">
        <v>0</v>
      </c>
      <c r="M364" s="225">
        <v>0</v>
      </c>
      <c r="N364" s="224">
        <v>0</v>
      </c>
      <c r="O364" s="202"/>
    </row>
    <row r="365" spans="1:15" s="16" customFormat="1">
      <c r="A365" s="209"/>
      <c r="B365" s="233" t="s">
        <v>58</v>
      </c>
      <c r="C365" s="224">
        <v>51240898.530000001</v>
      </c>
      <c r="D365" s="224">
        <v>1666943.13</v>
      </c>
      <c r="E365" s="225">
        <v>16</v>
      </c>
      <c r="F365" s="224">
        <v>26703354.640000001</v>
      </c>
      <c r="G365" s="224">
        <v>11048</v>
      </c>
      <c r="H365" s="224">
        <v>20796880.920000002</v>
      </c>
      <c r="I365" s="226">
        <v>0</v>
      </c>
      <c r="J365" s="224">
        <v>0</v>
      </c>
      <c r="K365" s="224">
        <v>3776.66</v>
      </c>
      <c r="L365" s="224">
        <v>2073719.84</v>
      </c>
      <c r="M365" s="226">
        <v>0</v>
      </c>
      <c r="N365" s="224">
        <v>0</v>
      </c>
      <c r="O365" s="202"/>
    </row>
    <row r="366" spans="1:15" ht="30">
      <c r="A366" s="209"/>
      <c r="B366" s="227" t="s">
        <v>632</v>
      </c>
      <c r="C366" s="224">
        <v>31783841.640000001</v>
      </c>
      <c r="D366" s="224">
        <v>1233642</v>
      </c>
      <c r="E366" s="225">
        <v>16</v>
      </c>
      <c r="F366" s="224">
        <v>26703354.640000001</v>
      </c>
      <c r="G366" s="224">
        <v>1884</v>
      </c>
      <c r="H366" s="224">
        <v>2728668</v>
      </c>
      <c r="I366" s="226">
        <v>0</v>
      </c>
      <c r="J366" s="224">
        <v>0</v>
      </c>
      <c r="K366" s="224">
        <v>2770</v>
      </c>
      <c r="L366" s="224">
        <v>1118177</v>
      </c>
      <c r="M366" s="225">
        <v>0</v>
      </c>
      <c r="N366" s="224">
        <v>0</v>
      </c>
      <c r="O366" s="202"/>
    </row>
    <row r="367" spans="1:15" s="18" customFormat="1">
      <c r="A367" s="209">
        <v>316</v>
      </c>
      <c r="B367" s="254" t="s">
        <v>301</v>
      </c>
      <c r="C367" s="224">
        <v>203849</v>
      </c>
      <c r="D367" s="224">
        <v>203849</v>
      </c>
      <c r="E367" s="225">
        <v>0</v>
      </c>
      <c r="F367" s="224">
        <v>0</v>
      </c>
      <c r="G367" s="224">
        <v>0</v>
      </c>
      <c r="H367" s="224">
        <v>0</v>
      </c>
      <c r="I367" s="226">
        <v>0</v>
      </c>
      <c r="J367" s="224">
        <v>0</v>
      </c>
      <c r="K367" s="226">
        <v>0</v>
      </c>
      <c r="L367" s="224">
        <v>0</v>
      </c>
      <c r="M367" s="225">
        <v>0</v>
      </c>
      <c r="N367" s="224">
        <v>0</v>
      </c>
      <c r="O367" s="202"/>
    </row>
    <row r="368" spans="1:15" s="18" customFormat="1">
      <c r="A368" s="209">
        <v>317</v>
      </c>
      <c r="B368" s="254" t="s">
        <v>302</v>
      </c>
      <c r="C368" s="224">
        <v>489343.64</v>
      </c>
      <c r="D368" s="224">
        <v>0</v>
      </c>
      <c r="E368" s="225">
        <v>2</v>
      </c>
      <c r="F368" s="224">
        <v>489343.64</v>
      </c>
      <c r="G368" s="224">
        <v>0</v>
      </c>
      <c r="H368" s="224">
        <v>0</v>
      </c>
      <c r="I368" s="226">
        <v>0</v>
      </c>
      <c r="J368" s="224">
        <v>0</v>
      </c>
      <c r="K368" s="226">
        <v>0</v>
      </c>
      <c r="L368" s="224">
        <v>0</v>
      </c>
      <c r="M368" s="225">
        <v>0</v>
      </c>
      <c r="N368" s="224">
        <v>0</v>
      </c>
      <c r="O368" s="202"/>
    </row>
    <row r="369" spans="1:15" s="18" customFormat="1">
      <c r="A369" s="209">
        <v>318</v>
      </c>
      <c r="B369" s="228" t="s">
        <v>478</v>
      </c>
      <c r="C369" s="251">
        <v>2092686</v>
      </c>
      <c r="D369" s="255">
        <v>0</v>
      </c>
      <c r="E369" s="225">
        <v>0</v>
      </c>
      <c r="F369" s="224">
        <v>0</v>
      </c>
      <c r="G369" s="251">
        <v>1060</v>
      </c>
      <c r="H369" s="251">
        <v>2092686</v>
      </c>
      <c r="I369" s="226">
        <v>0</v>
      </c>
      <c r="J369" s="224">
        <v>0</v>
      </c>
      <c r="K369" s="226">
        <v>0</v>
      </c>
      <c r="L369" s="224">
        <v>0</v>
      </c>
      <c r="M369" s="225">
        <v>0</v>
      </c>
      <c r="N369" s="224">
        <v>0</v>
      </c>
      <c r="O369" s="202"/>
    </row>
    <row r="370" spans="1:15" s="18" customFormat="1">
      <c r="A370" s="209">
        <v>319</v>
      </c>
      <c r="B370" s="254" t="s">
        <v>539</v>
      </c>
      <c r="C370" s="224">
        <v>395010</v>
      </c>
      <c r="D370" s="224">
        <v>0</v>
      </c>
      <c r="E370" s="225">
        <v>0</v>
      </c>
      <c r="F370" s="224">
        <v>0</v>
      </c>
      <c r="G370" s="224">
        <v>72</v>
      </c>
      <c r="H370" s="224">
        <v>55010</v>
      </c>
      <c r="I370" s="226">
        <v>0</v>
      </c>
      <c r="J370" s="224">
        <v>0</v>
      </c>
      <c r="K370" s="224">
        <v>2119</v>
      </c>
      <c r="L370" s="224">
        <v>340000</v>
      </c>
      <c r="M370" s="225">
        <v>0</v>
      </c>
      <c r="N370" s="224">
        <v>0</v>
      </c>
      <c r="O370" s="202"/>
    </row>
    <row r="371" spans="1:15" s="18" customFormat="1">
      <c r="A371" s="209">
        <v>320</v>
      </c>
      <c r="B371" s="227" t="s">
        <v>564</v>
      </c>
      <c r="C371" s="251">
        <v>3723571</v>
      </c>
      <c r="D371" s="202">
        <v>0</v>
      </c>
      <c r="E371" s="216">
        <v>2</v>
      </c>
      <c r="F371" s="251">
        <v>3723571</v>
      </c>
      <c r="G371" s="224">
        <v>0</v>
      </c>
      <c r="H371" s="224">
        <v>0</v>
      </c>
      <c r="I371" s="226">
        <v>0</v>
      </c>
      <c r="J371" s="224">
        <v>0</v>
      </c>
      <c r="K371" s="226">
        <v>0</v>
      </c>
      <c r="L371" s="224">
        <v>0</v>
      </c>
      <c r="M371" s="225">
        <v>0</v>
      </c>
      <c r="N371" s="224">
        <v>0</v>
      </c>
      <c r="O371" s="202"/>
    </row>
    <row r="372" spans="1:15" s="18" customFormat="1">
      <c r="A372" s="209">
        <v>321</v>
      </c>
      <c r="B372" s="227" t="s">
        <v>472</v>
      </c>
      <c r="C372" s="251">
        <v>3728342</v>
      </c>
      <c r="D372" s="202">
        <v>0</v>
      </c>
      <c r="E372" s="216">
        <v>2</v>
      </c>
      <c r="F372" s="202">
        <v>3728342</v>
      </c>
      <c r="G372" s="224">
        <v>0</v>
      </c>
      <c r="H372" s="224">
        <v>0</v>
      </c>
      <c r="I372" s="226">
        <v>0</v>
      </c>
      <c r="J372" s="224">
        <v>0</v>
      </c>
      <c r="K372" s="226">
        <v>0</v>
      </c>
      <c r="L372" s="224">
        <v>0</v>
      </c>
      <c r="M372" s="225">
        <v>0</v>
      </c>
      <c r="N372" s="224">
        <v>0</v>
      </c>
      <c r="O372" s="202"/>
    </row>
    <row r="373" spans="1:15" s="18" customFormat="1">
      <c r="A373" s="209">
        <v>322</v>
      </c>
      <c r="B373" s="228" t="s">
        <v>479</v>
      </c>
      <c r="C373" s="251">
        <v>7496810</v>
      </c>
      <c r="D373" s="202">
        <v>0</v>
      </c>
      <c r="E373" s="216">
        <v>4</v>
      </c>
      <c r="F373" s="251">
        <v>7496810</v>
      </c>
      <c r="G373" s="224">
        <v>0</v>
      </c>
      <c r="H373" s="224">
        <v>0</v>
      </c>
      <c r="I373" s="226">
        <v>0</v>
      </c>
      <c r="J373" s="224">
        <v>0</v>
      </c>
      <c r="K373" s="226">
        <v>0</v>
      </c>
      <c r="L373" s="224">
        <v>0</v>
      </c>
      <c r="M373" s="225">
        <v>0</v>
      </c>
      <c r="N373" s="224">
        <v>0</v>
      </c>
      <c r="O373" s="202"/>
    </row>
    <row r="374" spans="1:15" s="18" customFormat="1">
      <c r="A374" s="209">
        <v>323</v>
      </c>
      <c r="B374" s="254" t="s">
        <v>538</v>
      </c>
      <c r="C374" s="224">
        <v>285326</v>
      </c>
      <c r="D374" s="224">
        <v>0</v>
      </c>
      <c r="E374" s="225">
        <v>0</v>
      </c>
      <c r="F374" s="224">
        <v>0</v>
      </c>
      <c r="G374" s="224">
        <v>0</v>
      </c>
      <c r="H374" s="224">
        <v>0</v>
      </c>
      <c r="I374" s="226">
        <v>0</v>
      </c>
      <c r="J374" s="224">
        <v>0</v>
      </c>
      <c r="K374" s="224">
        <v>481</v>
      </c>
      <c r="L374" s="224">
        <v>285326</v>
      </c>
      <c r="M374" s="225">
        <v>0</v>
      </c>
      <c r="N374" s="224">
        <v>0</v>
      </c>
      <c r="O374" s="202"/>
    </row>
    <row r="375" spans="1:15" s="18" customFormat="1">
      <c r="A375" s="209">
        <v>324</v>
      </c>
      <c r="B375" s="228" t="s">
        <v>475</v>
      </c>
      <c r="C375" s="251">
        <v>1883037</v>
      </c>
      <c r="D375" s="202">
        <v>0</v>
      </c>
      <c r="E375" s="216">
        <v>1</v>
      </c>
      <c r="F375" s="210">
        <v>1883037</v>
      </c>
      <c r="G375" s="224">
        <v>0</v>
      </c>
      <c r="H375" s="224">
        <v>0</v>
      </c>
      <c r="I375" s="226">
        <v>0</v>
      </c>
      <c r="J375" s="224">
        <v>0</v>
      </c>
      <c r="K375" s="226">
        <v>0</v>
      </c>
      <c r="L375" s="224">
        <v>0</v>
      </c>
      <c r="M375" s="225">
        <v>0</v>
      </c>
      <c r="N375" s="224">
        <v>0</v>
      </c>
      <c r="O375" s="202"/>
    </row>
    <row r="376" spans="1:15" s="18" customFormat="1">
      <c r="A376" s="209">
        <v>325</v>
      </c>
      <c r="B376" s="228" t="s">
        <v>476</v>
      </c>
      <c r="C376" s="251">
        <v>1873250</v>
      </c>
      <c r="D376" s="202">
        <v>0</v>
      </c>
      <c r="E376" s="216">
        <v>1</v>
      </c>
      <c r="F376" s="251">
        <v>1873250</v>
      </c>
      <c r="G376" s="224">
        <v>0</v>
      </c>
      <c r="H376" s="224">
        <v>0</v>
      </c>
      <c r="I376" s="226">
        <v>0</v>
      </c>
      <c r="J376" s="224">
        <v>0</v>
      </c>
      <c r="K376" s="226">
        <v>0</v>
      </c>
      <c r="L376" s="224">
        <v>0</v>
      </c>
      <c r="M376" s="225">
        <v>0</v>
      </c>
      <c r="N376" s="224">
        <v>0</v>
      </c>
      <c r="O376" s="202"/>
    </row>
    <row r="377" spans="1:15" s="18" customFormat="1">
      <c r="A377" s="209">
        <v>326</v>
      </c>
      <c r="B377" s="227" t="s">
        <v>474</v>
      </c>
      <c r="C377" s="251">
        <v>1883308</v>
      </c>
      <c r="D377" s="202">
        <v>0</v>
      </c>
      <c r="E377" s="216">
        <v>1</v>
      </c>
      <c r="F377" s="202">
        <v>1883308</v>
      </c>
      <c r="G377" s="224">
        <v>0</v>
      </c>
      <c r="H377" s="224">
        <v>0</v>
      </c>
      <c r="I377" s="226">
        <v>0</v>
      </c>
      <c r="J377" s="224">
        <v>0</v>
      </c>
      <c r="K377" s="226">
        <v>0</v>
      </c>
      <c r="L377" s="224">
        <v>0</v>
      </c>
      <c r="M377" s="225">
        <v>0</v>
      </c>
      <c r="N377" s="224">
        <v>0</v>
      </c>
      <c r="O377" s="202"/>
    </row>
    <row r="378" spans="1:15" s="18" customFormat="1">
      <c r="A378" s="209">
        <v>327</v>
      </c>
      <c r="B378" s="228" t="s">
        <v>477</v>
      </c>
      <c r="C378" s="251">
        <v>1029793</v>
      </c>
      <c r="D378" s="251">
        <v>1029793</v>
      </c>
      <c r="E378" s="225">
        <v>0</v>
      </c>
      <c r="F378" s="224">
        <v>0</v>
      </c>
      <c r="G378" s="224">
        <v>0</v>
      </c>
      <c r="H378" s="224">
        <v>0</v>
      </c>
      <c r="I378" s="226">
        <v>0</v>
      </c>
      <c r="J378" s="224">
        <v>0</v>
      </c>
      <c r="K378" s="226">
        <v>0</v>
      </c>
      <c r="L378" s="224">
        <v>0</v>
      </c>
      <c r="M378" s="225">
        <v>0</v>
      </c>
      <c r="N378" s="224">
        <v>0</v>
      </c>
      <c r="O378" s="202"/>
    </row>
    <row r="379" spans="1:15" s="18" customFormat="1">
      <c r="A379" s="209">
        <v>328</v>
      </c>
      <c r="B379" s="227" t="s">
        <v>480</v>
      </c>
      <c r="C379" s="251">
        <v>3759580</v>
      </c>
      <c r="D379" s="202">
        <v>0</v>
      </c>
      <c r="E379" s="216">
        <v>2</v>
      </c>
      <c r="F379" s="202">
        <v>3759580</v>
      </c>
      <c r="G379" s="224">
        <v>0</v>
      </c>
      <c r="H379" s="224">
        <v>0</v>
      </c>
      <c r="I379" s="226">
        <v>0</v>
      </c>
      <c r="J379" s="224">
        <v>0</v>
      </c>
      <c r="K379" s="226">
        <v>0</v>
      </c>
      <c r="L379" s="224">
        <v>0</v>
      </c>
      <c r="M379" s="225">
        <v>0</v>
      </c>
      <c r="N379" s="224">
        <v>0</v>
      </c>
      <c r="O379" s="202"/>
    </row>
    <row r="380" spans="1:15" s="18" customFormat="1">
      <c r="A380" s="209">
        <v>329</v>
      </c>
      <c r="B380" s="227" t="s">
        <v>473</v>
      </c>
      <c r="C380" s="251">
        <v>1866113</v>
      </c>
      <c r="D380" s="202">
        <v>0</v>
      </c>
      <c r="E380" s="216">
        <v>1</v>
      </c>
      <c r="F380" s="251">
        <v>1866113</v>
      </c>
      <c r="G380" s="224">
        <v>0</v>
      </c>
      <c r="H380" s="224">
        <v>0</v>
      </c>
      <c r="I380" s="226">
        <v>0</v>
      </c>
      <c r="J380" s="224">
        <v>0</v>
      </c>
      <c r="K380" s="226">
        <v>0</v>
      </c>
      <c r="L380" s="224">
        <v>0</v>
      </c>
      <c r="M380" s="225">
        <v>0</v>
      </c>
      <c r="N380" s="224">
        <v>0</v>
      </c>
      <c r="O380" s="202"/>
    </row>
    <row r="381" spans="1:15" s="18" customFormat="1">
      <c r="A381" s="209">
        <v>330</v>
      </c>
      <c r="B381" s="254" t="s">
        <v>300</v>
      </c>
      <c r="C381" s="224">
        <v>1073823</v>
      </c>
      <c r="D381" s="224">
        <v>0</v>
      </c>
      <c r="E381" s="225">
        <v>0</v>
      </c>
      <c r="F381" s="224">
        <v>0</v>
      </c>
      <c r="G381" s="224">
        <v>752</v>
      </c>
      <c r="H381" s="224">
        <v>580972</v>
      </c>
      <c r="I381" s="226">
        <v>0</v>
      </c>
      <c r="J381" s="224">
        <v>0</v>
      </c>
      <c r="K381" s="224">
        <v>170</v>
      </c>
      <c r="L381" s="224">
        <v>492851</v>
      </c>
      <c r="M381" s="225">
        <v>0</v>
      </c>
      <c r="N381" s="224">
        <v>0</v>
      </c>
      <c r="O381" s="202"/>
    </row>
    <row r="382" spans="1:15" ht="30">
      <c r="A382" s="209"/>
      <c r="B382" s="227" t="s">
        <v>633</v>
      </c>
      <c r="C382" s="224">
        <v>2543251</v>
      </c>
      <c r="D382" s="224">
        <v>0</v>
      </c>
      <c r="E382" s="225">
        <v>0</v>
      </c>
      <c r="F382" s="224">
        <v>0</v>
      </c>
      <c r="G382" s="224">
        <v>1290.4000000000001</v>
      </c>
      <c r="H382" s="224">
        <v>2543251</v>
      </c>
      <c r="I382" s="226">
        <v>0</v>
      </c>
      <c r="J382" s="224">
        <v>0</v>
      </c>
      <c r="K382" s="226">
        <v>0</v>
      </c>
      <c r="L382" s="224">
        <v>0</v>
      </c>
      <c r="M382" s="225">
        <v>0</v>
      </c>
      <c r="N382" s="224">
        <v>0</v>
      </c>
      <c r="O382" s="202"/>
    </row>
    <row r="383" spans="1:15">
      <c r="A383" s="209">
        <v>331</v>
      </c>
      <c r="B383" s="227" t="s">
        <v>114</v>
      </c>
      <c r="C383" s="224">
        <v>2543251</v>
      </c>
      <c r="D383" s="224">
        <v>0</v>
      </c>
      <c r="E383" s="225">
        <v>0</v>
      </c>
      <c r="F383" s="224">
        <v>0</v>
      </c>
      <c r="G383" s="224">
        <v>1290.4000000000001</v>
      </c>
      <c r="H383" s="224">
        <v>2543251</v>
      </c>
      <c r="I383" s="226">
        <v>0</v>
      </c>
      <c r="J383" s="224">
        <v>0</v>
      </c>
      <c r="K383" s="226">
        <v>0</v>
      </c>
      <c r="L383" s="224">
        <v>0</v>
      </c>
      <c r="M383" s="225">
        <v>0</v>
      </c>
      <c r="N383" s="224">
        <v>0</v>
      </c>
      <c r="O383" s="202"/>
    </row>
    <row r="384" spans="1:15" ht="30">
      <c r="A384" s="209"/>
      <c r="B384" s="227" t="s">
        <v>634</v>
      </c>
      <c r="C384" s="224">
        <v>1515535.13</v>
      </c>
      <c r="D384" s="224">
        <v>433301.13</v>
      </c>
      <c r="E384" s="225">
        <v>0</v>
      </c>
      <c r="F384" s="224">
        <v>0</v>
      </c>
      <c r="G384" s="224">
        <v>540</v>
      </c>
      <c r="H384" s="224">
        <v>1082234</v>
      </c>
      <c r="I384" s="226">
        <v>0</v>
      </c>
      <c r="J384" s="224">
        <v>0</v>
      </c>
      <c r="K384" s="226">
        <v>0</v>
      </c>
      <c r="L384" s="224">
        <v>0</v>
      </c>
      <c r="M384" s="225">
        <v>0</v>
      </c>
      <c r="N384" s="224">
        <v>0</v>
      </c>
      <c r="O384" s="202"/>
    </row>
    <row r="385" spans="1:15">
      <c r="A385" s="209">
        <v>332</v>
      </c>
      <c r="B385" s="256" t="s">
        <v>481</v>
      </c>
      <c r="C385" s="224">
        <v>1082234</v>
      </c>
      <c r="D385" s="224">
        <v>0</v>
      </c>
      <c r="E385" s="225">
        <v>0</v>
      </c>
      <c r="F385" s="224">
        <v>0</v>
      </c>
      <c r="G385" s="210">
        <v>540</v>
      </c>
      <c r="H385" s="224">
        <v>1082234</v>
      </c>
      <c r="I385" s="226">
        <v>0</v>
      </c>
      <c r="J385" s="224">
        <v>0</v>
      </c>
      <c r="K385" s="226">
        <v>0</v>
      </c>
      <c r="L385" s="224">
        <v>0</v>
      </c>
      <c r="M385" s="225">
        <v>0</v>
      </c>
      <c r="N385" s="224">
        <v>0</v>
      </c>
      <c r="O385" s="202"/>
    </row>
    <row r="386" spans="1:15">
      <c r="A386" s="209">
        <v>333</v>
      </c>
      <c r="B386" s="227" t="s">
        <v>482</v>
      </c>
      <c r="C386" s="224">
        <v>433301.13</v>
      </c>
      <c r="D386" s="224">
        <v>433301.13</v>
      </c>
      <c r="E386" s="225">
        <v>0</v>
      </c>
      <c r="F386" s="224">
        <v>0</v>
      </c>
      <c r="G386" s="224">
        <v>0</v>
      </c>
      <c r="H386" s="224">
        <v>0</v>
      </c>
      <c r="I386" s="226">
        <v>0</v>
      </c>
      <c r="J386" s="224">
        <v>0</v>
      </c>
      <c r="K386" s="226">
        <v>0</v>
      </c>
      <c r="L386" s="224">
        <v>0</v>
      </c>
      <c r="M386" s="225">
        <v>0</v>
      </c>
      <c r="N386" s="224">
        <v>0</v>
      </c>
      <c r="O386" s="202"/>
    </row>
    <row r="387" spans="1:15" ht="30">
      <c r="A387" s="209"/>
      <c r="B387" s="227" t="s">
        <v>635</v>
      </c>
      <c r="C387" s="224">
        <v>10791172</v>
      </c>
      <c r="D387" s="224">
        <v>0</v>
      </c>
      <c r="E387" s="225">
        <v>0</v>
      </c>
      <c r="F387" s="224">
        <v>0</v>
      </c>
      <c r="G387" s="224">
        <v>5469</v>
      </c>
      <c r="H387" s="224">
        <v>10791172</v>
      </c>
      <c r="I387" s="226">
        <v>0</v>
      </c>
      <c r="J387" s="224">
        <v>0</v>
      </c>
      <c r="K387" s="226">
        <v>0</v>
      </c>
      <c r="L387" s="224">
        <v>0</v>
      </c>
      <c r="M387" s="225">
        <v>0</v>
      </c>
      <c r="N387" s="224">
        <v>0</v>
      </c>
      <c r="O387" s="202"/>
    </row>
    <row r="388" spans="1:15" s="59" customFormat="1">
      <c r="A388" s="209">
        <v>334</v>
      </c>
      <c r="B388" s="257" t="s">
        <v>487</v>
      </c>
      <c r="C388" s="240">
        <v>1266892</v>
      </c>
      <c r="D388" s="258">
        <v>0</v>
      </c>
      <c r="E388" s="249">
        <v>0</v>
      </c>
      <c r="F388" s="258">
        <v>0</v>
      </c>
      <c r="G388" s="229">
        <v>641</v>
      </c>
      <c r="H388" s="240">
        <v>1266892</v>
      </c>
      <c r="I388" s="244">
        <v>0</v>
      </c>
      <c r="J388" s="240">
        <v>0</v>
      </c>
      <c r="K388" s="259">
        <v>0</v>
      </c>
      <c r="L388" s="258">
        <v>0</v>
      </c>
      <c r="M388" s="260">
        <v>0</v>
      </c>
      <c r="N388" s="258">
        <v>0</v>
      </c>
      <c r="O388" s="202"/>
    </row>
    <row r="389" spans="1:15" s="59" customFormat="1">
      <c r="A389" s="209">
        <v>335</v>
      </c>
      <c r="B389" s="257" t="s">
        <v>401</v>
      </c>
      <c r="C389" s="240">
        <v>1489401</v>
      </c>
      <c r="D389" s="258">
        <v>0</v>
      </c>
      <c r="E389" s="249">
        <v>0</v>
      </c>
      <c r="F389" s="258">
        <v>0</v>
      </c>
      <c r="G389" s="229">
        <v>751</v>
      </c>
      <c r="H389" s="240">
        <v>1489401</v>
      </c>
      <c r="I389" s="244">
        <v>0</v>
      </c>
      <c r="J389" s="240">
        <v>0</v>
      </c>
      <c r="K389" s="259">
        <v>0</v>
      </c>
      <c r="L389" s="258">
        <v>0</v>
      </c>
      <c r="M389" s="260">
        <v>0</v>
      </c>
      <c r="N389" s="258">
        <v>0</v>
      </c>
      <c r="O389" s="202"/>
    </row>
    <row r="390" spans="1:15" s="59" customFormat="1">
      <c r="A390" s="209">
        <v>336</v>
      </c>
      <c r="B390" s="257" t="s">
        <v>485</v>
      </c>
      <c r="C390" s="240">
        <v>1198926</v>
      </c>
      <c r="D390" s="258">
        <v>0</v>
      </c>
      <c r="E390" s="249">
        <v>0</v>
      </c>
      <c r="F390" s="258">
        <v>0</v>
      </c>
      <c r="G390" s="229">
        <v>608</v>
      </c>
      <c r="H390" s="240">
        <v>1198926</v>
      </c>
      <c r="I390" s="244">
        <v>0</v>
      </c>
      <c r="J390" s="240">
        <v>0</v>
      </c>
      <c r="K390" s="259">
        <v>0</v>
      </c>
      <c r="L390" s="258">
        <v>0</v>
      </c>
      <c r="M390" s="260">
        <v>0</v>
      </c>
      <c r="N390" s="258">
        <v>0</v>
      </c>
      <c r="O390" s="202"/>
    </row>
    <row r="391" spans="1:15" s="59" customFormat="1">
      <c r="A391" s="209">
        <v>337</v>
      </c>
      <c r="B391" s="257" t="s">
        <v>486</v>
      </c>
      <c r="C391" s="240">
        <v>1151237</v>
      </c>
      <c r="D391" s="258">
        <v>0</v>
      </c>
      <c r="E391" s="249">
        <v>0</v>
      </c>
      <c r="F391" s="258">
        <v>0</v>
      </c>
      <c r="G391" s="229">
        <v>586</v>
      </c>
      <c r="H391" s="240">
        <v>1151237</v>
      </c>
      <c r="I391" s="244">
        <v>0</v>
      </c>
      <c r="J391" s="240">
        <v>0</v>
      </c>
      <c r="K391" s="259">
        <v>0</v>
      </c>
      <c r="L391" s="258">
        <v>0</v>
      </c>
      <c r="M391" s="260">
        <v>0</v>
      </c>
      <c r="N391" s="258">
        <v>0</v>
      </c>
      <c r="O391" s="202"/>
    </row>
    <row r="392" spans="1:15" s="59" customFormat="1">
      <c r="A392" s="209">
        <v>338</v>
      </c>
      <c r="B392" s="257" t="s">
        <v>483</v>
      </c>
      <c r="C392" s="240">
        <v>2232777</v>
      </c>
      <c r="D392" s="258">
        <v>0</v>
      </c>
      <c r="E392" s="249">
        <v>0</v>
      </c>
      <c r="F392" s="258">
        <v>0</v>
      </c>
      <c r="G392" s="229">
        <v>1130</v>
      </c>
      <c r="H392" s="240">
        <v>2232777</v>
      </c>
      <c r="I392" s="244">
        <v>0</v>
      </c>
      <c r="J392" s="240">
        <v>0</v>
      </c>
      <c r="K392" s="259">
        <v>0</v>
      </c>
      <c r="L392" s="258">
        <v>0</v>
      </c>
      <c r="M392" s="260">
        <v>0</v>
      </c>
      <c r="N392" s="258">
        <v>0</v>
      </c>
      <c r="O392" s="202"/>
    </row>
    <row r="393" spans="1:15" s="59" customFormat="1">
      <c r="A393" s="209">
        <v>339</v>
      </c>
      <c r="B393" s="257" t="s">
        <v>484</v>
      </c>
      <c r="C393" s="240">
        <v>3451939</v>
      </c>
      <c r="D393" s="258">
        <v>0</v>
      </c>
      <c r="E393" s="249">
        <v>0</v>
      </c>
      <c r="F393" s="258">
        <v>0</v>
      </c>
      <c r="G393" s="229">
        <v>1753</v>
      </c>
      <c r="H393" s="240">
        <v>3451939</v>
      </c>
      <c r="I393" s="244">
        <v>0</v>
      </c>
      <c r="J393" s="240">
        <v>0</v>
      </c>
      <c r="K393" s="259">
        <v>0</v>
      </c>
      <c r="L393" s="258">
        <v>0</v>
      </c>
      <c r="M393" s="260">
        <v>0</v>
      </c>
      <c r="N393" s="258">
        <v>0</v>
      </c>
      <c r="O393" s="202"/>
    </row>
    <row r="394" spans="1:15" ht="30">
      <c r="A394" s="209"/>
      <c r="B394" s="227" t="s">
        <v>636</v>
      </c>
      <c r="C394" s="224">
        <v>239451.84</v>
      </c>
      <c r="D394" s="224">
        <v>0</v>
      </c>
      <c r="E394" s="225">
        <v>0</v>
      </c>
      <c r="F394" s="224">
        <v>0</v>
      </c>
      <c r="G394" s="224">
        <v>0</v>
      </c>
      <c r="H394" s="224">
        <v>0</v>
      </c>
      <c r="I394" s="226">
        <v>0</v>
      </c>
      <c r="J394" s="224">
        <v>0</v>
      </c>
      <c r="K394" s="224">
        <v>514.64</v>
      </c>
      <c r="L394" s="224">
        <v>239451.84</v>
      </c>
      <c r="M394" s="225">
        <v>0</v>
      </c>
      <c r="N394" s="224">
        <v>0</v>
      </c>
      <c r="O394" s="202"/>
    </row>
    <row r="395" spans="1:15" ht="30">
      <c r="A395" s="209">
        <v>340</v>
      </c>
      <c r="B395" s="227" t="s">
        <v>590</v>
      </c>
      <c r="C395" s="224">
        <v>239451.84</v>
      </c>
      <c r="D395" s="224">
        <v>0</v>
      </c>
      <c r="E395" s="225">
        <v>0</v>
      </c>
      <c r="F395" s="224">
        <v>0</v>
      </c>
      <c r="G395" s="224">
        <v>0</v>
      </c>
      <c r="H395" s="224">
        <v>0</v>
      </c>
      <c r="I395" s="226">
        <v>0</v>
      </c>
      <c r="J395" s="224">
        <v>0</v>
      </c>
      <c r="K395" s="224">
        <v>514.64</v>
      </c>
      <c r="L395" s="224">
        <v>239451.84</v>
      </c>
      <c r="M395" s="225">
        <v>0</v>
      </c>
      <c r="N395" s="224">
        <v>0</v>
      </c>
      <c r="O395" s="202"/>
    </row>
    <row r="396" spans="1:15" ht="30">
      <c r="A396" s="209"/>
      <c r="B396" s="227" t="s">
        <v>637</v>
      </c>
      <c r="C396" s="224">
        <v>657835.92000000004</v>
      </c>
      <c r="D396" s="224">
        <v>0</v>
      </c>
      <c r="E396" s="226">
        <v>0</v>
      </c>
      <c r="F396" s="224">
        <v>0</v>
      </c>
      <c r="G396" s="224">
        <v>396</v>
      </c>
      <c r="H396" s="224">
        <v>657835.92000000004</v>
      </c>
      <c r="I396" s="226">
        <v>0</v>
      </c>
      <c r="J396" s="261">
        <v>0</v>
      </c>
      <c r="K396" s="226">
        <v>0</v>
      </c>
      <c r="L396" s="261">
        <v>0</v>
      </c>
      <c r="M396" s="225">
        <v>0</v>
      </c>
      <c r="N396" s="261">
        <v>0</v>
      </c>
      <c r="O396" s="202"/>
    </row>
    <row r="397" spans="1:15" ht="30">
      <c r="A397" s="209">
        <v>341</v>
      </c>
      <c r="B397" s="227" t="s">
        <v>580</v>
      </c>
      <c r="C397" s="224">
        <v>657835.92000000004</v>
      </c>
      <c r="D397" s="224">
        <v>0</v>
      </c>
      <c r="E397" s="225">
        <v>0</v>
      </c>
      <c r="F397" s="224">
        <v>0</v>
      </c>
      <c r="G397" s="210">
        <v>396</v>
      </c>
      <c r="H397" s="224">
        <v>657835.92000000004</v>
      </c>
      <c r="I397" s="226">
        <v>0</v>
      </c>
      <c r="J397" s="224">
        <v>0</v>
      </c>
      <c r="K397" s="226">
        <v>0</v>
      </c>
      <c r="L397" s="224">
        <v>0</v>
      </c>
      <c r="M397" s="225">
        <v>0</v>
      </c>
      <c r="N397" s="224">
        <v>0</v>
      </c>
      <c r="O397" s="202"/>
    </row>
    <row r="398" spans="1:15" ht="30">
      <c r="A398" s="209"/>
      <c r="B398" s="227" t="s">
        <v>638</v>
      </c>
      <c r="C398" s="224">
        <v>3709811</v>
      </c>
      <c r="D398" s="224">
        <v>0</v>
      </c>
      <c r="E398" s="225">
        <v>0</v>
      </c>
      <c r="F398" s="224">
        <v>0</v>
      </c>
      <c r="G398" s="224">
        <v>1468.6</v>
      </c>
      <c r="H398" s="224">
        <v>2993720</v>
      </c>
      <c r="I398" s="226">
        <v>0</v>
      </c>
      <c r="J398" s="224">
        <v>0</v>
      </c>
      <c r="K398" s="224">
        <v>492.02</v>
      </c>
      <c r="L398" s="224">
        <v>716091</v>
      </c>
      <c r="M398" s="225">
        <v>0</v>
      </c>
      <c r="N398" s="224">
        <v>0</v>
      </c>
      <c r="O398" s="202"/>
    </row>
    <row r="399" spans="1:15" s="60" customFormat="1" ht="30">
      <c r="A399" s="209">
        <v>342</v>
      </c>
      <c r="B399" s="238" t="s">
        <v>581</v>
      </c>
      <c r="C399" s="262">
        <v>996098</v>
      </c>
      <c r="D399" s="263">
        <v>0</v>
      </c>
      <c r="E399" s="216">
        <v>0</v>
      </c>
      <c r="F399" s="263">
        <v>0</v>
      </c>
      <c r="G399" s="229">
        <v>488.6</v>
      </c>
      <c r="H399" s="264">
        <v>996098</v>
      </c>
      <c r="I399" s="265">
        <v>0</v>
      </c>
      <c r="J399" s="263">
        <v>0</v>
      </c>
      <c r="K399" s="265">
        <v>0</v>
      </c>
      <c r="L399" s="263">
        <v>0</v>
      </c>
      <c r="M399" s="266">
        <v>0</v>
      </c>
      <c r="N399" s="263">
        <v>0</v>
      </c>
      <c r="O399" s="202"/>
    </row>
    <row r="400" spans="1:15" s="60" customFormat="1" ht="30">
      <c r="A400" s="209">
        <v>343</v>
      </c>
      <c r="B400" s="238" t="s">
        <v>582</v>
      </c>
      <c r="C400" s="262">
        <v>997997</v>
      </c>
      <c r="D400" s="263">
        <v>0</v>
      </c>
      <c r="E400" s="216">
        <v>0</v>
      </c>
      <c r="F400" s="263">
        <v>0</v>
      </c>
      <c r="G400" s="229">
        <v>489.6</v>
      </c>
      <c r="H400" s="264">
        <v>997997</v>
      </c>
      <c r="I400" s="265">
        <v>0</v>
      </c>
      <c r="J400" s="263">
        <v>0</v>
      </c>
      <c r="K400" s="265">
        <v>0</v>
      </c>
      <c r="L400" s="263">
        <v>0</v>
      </c>
      <c r="M400" s="266">
        <v>0</v>
      </c>
      <c r="N400" s="263">
        <v>0</v>
      </c>
      <c r="O400" s="202"/>
    </row>
    <row r="401" spans="1:15" s="60" customFormat="1" ht="30">
      <c r="A401" s="209">
        <v>344</v>
      </c>
      <c r="B401" s="238" t="s">
        <v>583</v>
      </c>
      <c r="C401" s="262">
        <v>999625</v>
      </c>
      <c r="D401" s="263">
        <v>0</v>
      </c>
      <c r="E401" s="216">
        <v>0</v>
      </c>
      <c r="F401" s="263">
        <v>0</v>
      </c>
      <c r="G401" s="229">
        <v>490.4</v>
      </c>
      <c r="H401" s="264">
        <v>999625</v>
      </c>
      <c r="I401" s="265">
        <v>0</v>
      </c>
      <c r="J401" s="263">
        <v>0</v>
      </c>
      <c r="K401" s="265">
        <v>0</v>
      </c>
      <c r="L401" s="263">
        <v>0</v>
      </c>
      <c r="M401" s="266">
        <v>0</v>
      </c>
      <c r="N401" s="263">
        <v>0</v>
      </c>
      <c r="O401" s="202"/>
    </row>
    <row r="402" spans="1:15" s="60" customFormat="1">
      <c r="A402" s="209">
        <v>345</v>
      </c>
      <c r="B402" s="238" t="s">
        <v>493</v>
      </c>
      <c r="C402" s="262">
        <v>716091</v>
      </c>
      <c r="D402" s="263">
        <v>0</v>
      </c>
      <c r="E402" s="216">
        <v>0</v>
      </c>
      <c r="F402" s="263">
        <v>0</v>
      </c>
      <c r="G402" s="229">
        <v>0</v>
      </c>
      <c r="H402" s="264">
        <v>0</v>
      </c>
      <c r="I402" s="265">
        <v>0</v>
      </c>
      <c r="J402" s="263">
        <v>0</v>
      </c>
      <c r="K402" s="230">
        <v>492.02</v>
      </c>
      <c r="L402" s="230">
        <v>716091</v>
      </c>
      <c r="M402" s="266">
        <v>0</v>
      </c>
      <c r="N402" s="263">
        <v>0</v>
      </c>
      <c r="O402" s="202"/>
    </row>
    <row r="403" spans="1:15">
      <c r="A403" s="209"/>
      <c r="B403" s="233" t="s">
        <v>59</v>
      </c>
      <c r="C403" s="224">
        <v>2222747</v>
      </c>
      <c r="D403" s="224">
        <v>0</v>
      </c>
      <c r="E403" s="225">
        <v>0</v>
      </c>
      <c r="F403" s="224">
        <v>0</v>
      </c>
      <c r="G403" s="224">
        <v>1115</v>
      </c>
      <c r="H403" s="224">
        <v>2222747</v>
      </c>
      <c r="I403" s="226">
        <v>0</v>
      </c>
      <c r="J403" s="224">
        <v>0</v>
      </c>
      <c r="K403" s="226">
        <v>0</v>
      </c>
      <c r="L403" s="224">
        <v>0</v>
      </c>
      <c r="M403" s="225">
        <v>0</v>
      </c>
      <c r="N403" s="224">
        <v>0</v>
      </c>
      <c r="O403" s="202"/>
    </row>
    <row r="404" spans="1:15" ht="30">
      <c r="A404" s="209"/>
      <c r="B404" s="227" t="s">
        <v>639</v>
      </c>
      <c r="C404" s="224">
        <v>2222747</v>
      </c>
      <c r="D404" s="224">
        <v>0</v>
      </c>
      <c r="E404" s="225">
        <v>0</v>
      </c>
      <c r="F404" s="224">
        <v>0</v>
      </c>
      <c r="G404" s="224">
        <v>1115</v>
      </c>
      <c r="H404" s="224">
        <v>2222747</v>
      </c>
      <c r="I404" s="226">
        <v>0</v>
      </c>
      <c r="J404" s="224">
        <v>0</v>
      </c>
      <c r="K404" s="226">
        <v>0</v>
      </c>
      <c r="L404" s="224">
        <v>0</v>
      </c>
      <c r="M404" s="225">
        <v>0</v>
      </c>
      <c r="N404" s="224">
        <v>0</v>
      </c>
      <c r="O404" s="202"/>
    </row>
    <row r="405" spans="1:15">
      <c r="A405" s="209">
        <v>346</v>
      </c>
      <c r="B405" s="233" t="s">
        <v>495</v>
      </c>
      <c r="C405" s="224">
        <v>1003542</v>
      </c>
      <c r="D405" s="224">
        <v>0</v>
      </c>
      <c r="E405" s="225">
        <v>0</v>
      </c>
      <c r="F405" s="224">
        <v>0</v>
      </c>
      <c r="G405" s="210">
        <v>510</v>
      </c>
      <c r="H405" s="224">
        <v>1003542</v>
      </c>
      <c r="I405" s="226">
        <v>0</v>
      </c>
      <c r="J405" s="224">
        <v>0</v>
      </c>
      <c r="K405" s="226">
        <v>0</v>
      </c>
      <c r="L405" s="224">
        <v>0</v>
      </c>
      <c r="M405" s="225">
        <v>0</v>
      </c>
      <c r="N405" s="224">
        <v>0</v>
      </c>
      <c r="O405" s="202"/>
    </row>
    <row r="406" spans="1:15">
      <c r="A406" s="209">
        <v>347</v>
      </c>
      <c r="B406" s="233" t="s">
        <v>494</v>
      </c>
      <c r="C406" s="224">
        <v>740146</v>
      </c>
      <c r="D406" s="224">
        <v>0</v>
      </c>
      <c r="E406" s="225">
        <v>0</v>
      </c>
      <c r="F406" s="224">
        <v>0</v>
      </c>
      <c r="G406" s="210">
        <v>373</v>
      </c>
      <c r="H406" s="224">
        <v>740146</v>
      </c>
      <c r="I406" s="226">
        <v>0</v>
      </c>
      <c r="J406" s="224">
        <v>0</v>
      </c>
      <c r="K406" s="226">
        <v>0</v>
      </c>
      <c r="L406" s="224">
        <v>0</v>
      </c>
      <c r="M406" s="225">
        <v>0</v>
      </c>
      <c r="N406" s="224">
        <v>0</v>
      </c>
      <c r="O406" s="202"/>
    </row>
    <row r="407" spans="1:15">
      <c r="A407" s="209">
        <v>348</v>
      </c>
      <c r="B407" s="233" t="s">
        <v>496</v>
      </c>
      <c r="C407" s="224">
        <v>479059</v>
      </c>
      <c r="D407" s="224">
        <v>0</v>
      </c>
      <c r="E407" s="225">
        <v>0</v>
      </c>
      <c r="F407" s="224">
        <v>0</v>
      </c>
      <c r="G407" s="224">
        <v>232</v>
      </c>
      <c r="H407" s="224">
        <v>479059</v>
      </c>
      <c r="I407" s="226">
        <v>0</v>
      </c>
      <c r="J407" s="224">
        <v>0</v>
      </c>
      <c r="K407" s="226">
        <v>0</v>
      </c>
      <c r="L407" s="224">
        <v>0</v>
      </c>
      <c r="M407" s="225">
        <v>0</v>
      </c>
      <c r="N407" s="224">
        <v>0</v>
      </c>
      <c r="O407" s="202"/>
    </row>
    <row r="408" spans="1:15">
      <c r="A408" s="209"/>
      <c r="B408" s="233" t="s">
        <v>60</v>
      </c>
      <c r="C408" s="224">
        <v>3629800</v>
      </c>
      <c r="D408" s="224">
        <v>0</v>
      </c>
      <c r="E408" s="225">
        <v>0</v>
      </c>
      <c r="F408" s="224">
        <v>0</v>
      </c>
      <c r="G408" s="224">
        <v>1101</v>
      </c>
      <c r="H408" s="224">
        <v>2229747</v>
      </c>
      <c r="I408" s="226">
        <v>0</v>
      </c>
      <c r="J408" s="224">
        <v>0</v>
      </c>
      <c r="K408" s="224">
        <v>962</v>
      </c>
      <c r="L408" s="224">
        <v>1400053</v>
      </c>
      <c r="M408" s="225">
        <v>0</v>
      </c>
      <c r="N408" s="224">
        <v>0</v>
      </c>
      <c r="O408" s="202"/>
    </row>
    <row r="409" spans="1:15" ht="30">
      <c r="A409" s="209"/>
      <c r="B409" s="227" t="s">
        <v>640</v>
      </c>
      <c r="C409" s="224">
        <v>3629800</v>
      </c>
      <c r="D409" s="224">
        <v>0</v>
      </c>
      <c r="E409" s="225">
        <v>0</v>
      </c>
      <c r="F409" s="224">
        <v>0</v>
      </c>
      <c r="G409" s="224">
        <v>1101</v>
      </c>
      <c r="H409" s="224">
        <v>2229747</v>
      </c>
      <c r="I409" s="226">
        <v>0</v>
      </c>
      <c r="J409" s="224">
        <v>0</v>
      </c>
      <c r="K409" s="224">
        <v>962</v>
      </c>
      <c r="L409" s="224">
        <v>1400053</v>
      </c>
      <c r="M409" s="225">
        <v>0</v>
      </c>
      <c r="N409" s="224">
        <v>0</v>
      </c>
      <c r="O409" s="202"/>
    </row>
    <row r="410" spans="1:15" s="24" customFormat="1">
      <c r="A410" s="209">
        <v>349</v>
      </c>
      <c r="B410" s="227" t="s">
        <v>497</v>
      </c>
      <c r="C410" s="221">
        <v>1610025</v>
      </c>
      <c r="D410" s="207">
        <v>0</v>
      </c>
      <c r="E410" s="225">
        <v>0</v>
      </c>
      <c r="F410" s="224">
        <v>0</v>
      </c>
      <c r="G410" s="210">
        <v>353</v>
      </c>
      <c r="H410" s="207">
        <v>716083</v>
      </c>
      <c r="I410" s="226">
        <v>0</v>
      </c>
      <c r="J410" s="224">
        <v>0</v>
      </c>
      <c r="K410" s="224">
        <v>617</v>
      </c>
      <c r="L410" s="224">
        <v>893942</v>
      </c>
      <c r="M410" s="225">
        <v>0</v>
      </c>
      <c r="N410" s="224">
        <v>0</v>
      </c>
      <c r="O410" s="202"/>
    </row>
    <row r="411" spans="1:15">
      <c r="A411" s="209">
        <v>350</v>
      </c>
      <c r="B411" s="227" t="s">
        <v>499</v>
      </c>
      <c r="C411" s="207">
        <v>898009</v>
      </c>
      <c r="D411" s="207">
        <v>0</v>
      </c>
      <c r="E411" s="225">
        <v>0</v>
      </c>
      <c r="F411" s="224">
        <v>0</v>
      </c>
      <c r="G411" s="224">
        <v>446</v>
      </c>
      <c r="H411" s="224">
        <v>898009</v>
      </c>
      <c r="I411" s="226">
        <v>0</v>
      </c>
      <c r="J411" s="224">
        <v>0</v>
      </c>
      <c r="K411" s="226">
        <v>0</v>
      </c>
      <c r="L411" s="224">
        <v>0</v>
      </c>
      <c r="M411" s="225">
        <v>0</v>
      </c>
      <c r="N411" s="224">
        <v>0</v>
      </c>
      <c r="O411" s="202"/>
    </row>
    <row r="412" spans="1:15">
      <c r="A412" s="209">
        <v>351</v>
      </c>
      <c r="B412" s="227" t="s">
        <v>498</v>
      </c>
      <c r="C412" s="207">
        <v>1121766</v>
      </c>
      <c r="D412" s="207">
        <v>0</v>
      </c>
      <c r="E412" s="225">
        <v>0</v>
      </c>
      <c r="F412" s="224">
        <v>0</v>
      </c>
      <c r="G412" s="210">
        <v>302</v>
      </c>
      <c r="H412" s="207">
        <v>615655</v>
      </c>
      <c r="I412" s="226">
        <v>0</v>
      </c>
      <c r="J412" s="224">
        <v>0</v>
      </c>
      <c r="K412" s="224">
        <v>345</v>
      </c>
      <c r="L412" s="224">
        <v>506111</v>
      </c>
      <c r="M412" s="225">
        <v>0</v>
      </c>
      <c r="N412" s="224">
        <v>0</v>
      </c>
      <c r="O412" s="202"/>
    </row>
    <row r="413" spans="1:15">
      <c r="A413" s="209"/>
      <c r="B413" s="233" t="s">
        <v>61</v>
      </c>
      <c r="C413" s="224">
        <v>13352826.959999999</v>
      </c>
      <c r="D413" s="224">
        <v>8292103.96</v>
      </c>
      <c r="E413" s="225">
        <v>0</v>
      </c>
      <c r="F413" s="224">
        <v>0</v>
      </c>
      <c r="G413" s="224">
        <v>2564.5</v>
      </c>
      <c r="H413" s="224">
        <v>5060723</v>
      </c>
      <c r="I413" s="226">
        <v>0</v>
      </c>
      <c r="J413" s="224">
        <v>0</v>
      </c>
      <c r="K413" s="226">
        <v>0</v>
      </c>
      <c r="L413" s="224">
        <v>0</v>
      </c>
      <c r="M413" s="225">
        <v>0</v>
      </c>
      <c r="N413" s="224">
        <v>0</v>
      </c>
      <c r="O413" s="202"/>
    </row>
    <row r="414" spans="1:15" ht="30">
      <c r="A414" s="209"/>
      <c r="B414" s="227" t="s">
        <v>641</v>
      </c>
      <c r="C414" s="224">
        <v>11099781.93</v>
      </c>
      <c r="D414" s="224">
        <v>8053527.9299999997</v>
      </c>
      <c r="E414" s="225">
        <v>0</v>
      </c>
      <c r="F414" s="224">
        <v>0</v>
      </c>
      <c r="G414" s="224">
        <v>1545.5</v>
      </c>
      <c r="H414" s="224">
        <v>3046254</v>
      </c>
      <c r="I414" s="226">
        <v>0</v>
      </c>
      <c r="J414" s="224">
        <v>0</v>
      </c>
      <c r="K414" s="226">
        <v>0</v>
      </c>
      <c r="L414" s="224">
        <v>0</v>
      </c>
      <c r="M414" s="225">
        <v>0</v>
      </c>
      <c r="N414" s="224">
        <v>0</v>
      </c>
      <c r="O414" s="202"/>
    </row>
    <row r="415" spans="1:15">
      <c r="A415" s="209">
        <v>352</v>
      </c>
      <c r="B415" s="227" t="s">
        <v>505</v>
      </c>
      <c r="C415" s="224">
        <v>3046254</v>
      </c>
      <c r="D415" s="224">
        <v>0</v>
      </c>
      <c r="E415" s="225">
        <v>0</v>
      </c>
      <c r="F415" s="224">
        <v>0</v>
      </c>
      <c r="G415" s="224">
        <v>1545.5</v>
      </c>
      <c r="H415" s="224">
        <v>3046254</v>
      </c>
      <c r="I415" s="226">
        <v>0</v>
      </c>
      <c r="J415" s="224">
        <v>0</v>
      </c>
      <c r="K415" s="226">
        <v>0</v>
      </c>
      <c r="L415" s="224">
        <v>0</v>
      </c>
      <c r="M415" s="225">
        <v>0</v>
      </c>
      <c r="N415" s="224">
        <v>0</v>
      </c>
      <c r="O415" s="202"/>
    </row>
    <row r="416" spans="1:15">
      <c r="A416" s="209">
        <v>353</v>
      </c>
      <c r="B416" s="227" t="s">
        <v>500</v>
      </c>
      <c r="C416" s="224">
        <v>261484</v>
      </c>
      <c r="D416" s="224">
        <v>261484</v>
      </c>
      <c r="E416" s="225">
        <v>0</v>
      </c>
      <c r="F416" s="224">
        <v>0</v>
      </c>
      <c r="G416" s="224">
        <v>0</v>
      </c>
      <c r="H416" s="224">
        <v>0</v>
      </c>
      <c r="I416" s="226">
        <v>0</v>
      </c>
      <c r="J416" s="224">
        <v>0</v>
      </c>
      <c r="K416" s="226">
        <v>0</v>
      </c>
      <c r="L416" s="224">
        <v>0</v>
      </c>
      <c r="M416" s="225">
        <v>0</v>
      </c>
      <c r="N416" s="224">
        <v>0</v>
      </c>
      <c r="O416" s="202"/>
    </row>
    <row r="417" spans="1:15">
      <c r="A417" s="209">
        <v>354</v>
      </c>
      <c r="B417" s="227" t="s">
        <v>506</v>
      </c>
      <c r="C417" s="224">
        <v>266948</v>
      </c>
      <c r="D417" s="224">
        <v>266948</v>
      </c>
      <c r="E417" s="225">
        <v>0</v>
      </c>
      <c r="F417" s="224">
        <v>0</v>
      </c>
      <c r="G417" s="224">
        <v>0</v>
      </c>
      <c r="H417" s="224">
        <v>0</v>
      </c>
      <c r="I417" s="226">
        <v>0</v>
      </c>
      <c r="J417" s="224">
        <v>0</v>
      </c>
      <c r="K417" s="226">
        <v>0</v>
      </c>
      <c r="L417" s="224">
        <v>0</v>
      </c>
      <c r="M417" s="225">
        <v>0</v>
      </c>
      <c r="N417" s="224">
        <v>0</v>
      </c>
      <c r="O417" s="202"/>
    </row>
    <row r="418" spans="1:15">
      <c r="A418" s="209">
        <v>355</v>
      </c>
      <c r="B418" s="227" t="s">
        <v>501</v>
      </c>
      <c r="C418" s="224">
        <v>258780</v>
      </c>
      <c r="D418" s="224">
        <v>258780</v>
      </c>
      <c r="E418" s="225">
        <v>0</v>
      </c>
      <c r="F418" s="224">
        <v>0</v>
      </c>
      <c r="G418" s="224">
        <v>0</v>
      </c>
      <c r="H418" s="224">
        <v>0</v>
      </c>
      <c r="I418" s="226">
        <v>0</v>
      </c>
      <c r="J418" s="224">
        <v>0</v>
      </c>
      <c r="K418" s="226">
        <v>0</v>
      </c>
      <c r="L418" s="224">
        <v>0</v>
      </c>
      <c r="M418" s="225">
        <v>0</v>
      </c>
      <c r="N418" s="224">
        <v>0</v>
      </c>
      <c r="O418" s="202"/>
    </row>
    <row r="419" spans="1:15">
      <c r="A419" s="209">
        <v>356</v>
      </c>
      <c r="B419" s="227" t="s">
        <v>502</v>
      </c>
      <c r="C419" s="224">
        <v>246974.27</v>
      </c>
      <c r="D419" s="224">
        <v>246974.27</v>
      </c>
      <c r="E419" s="225">
        <v>0</v>
      </c>
      <c r="F419" s="224">
        <v>0</v>
      </c>
      <c r="G419" s="224">
        <v>0</v>
      </c>
      <c r="H419" s="224">
        <v>0</v>
      </c>
      <c r="I419" s="226">
        <v>0</v>
      </c>
      <c r="J419" s="224">
        <v>0</v>
      </c>
      <c r="K419" s="226">
        <v>0</v>
      </c>
      <c r="L419" s="224">
        <v>0</v>
      </c>
      <c r="M419" s="225">
        <v>0</v>
      </c>
      <c r="N419" s="224">
        <v>0</v>
      </c>
      <c r="O419" s="202"/>
    </row>
    <row r="420" spans="1:15">
      <c r="A420" s="209">
        <v>357</v>
      </c>
      <c r="B420" s="227" t="s">
        <v>507</v>
      </c>
      <c r="C420" s="224">
        <v>176234</v>
      </c>
      <c r="D420" s="224">
        <v>176234</v>
      </c>
      <c r="E420" s="225">
        <v>0</v>
      </c>
      <c r="F420" s="224">
        <v>0</v>
      </c>
      <c r="G420" s="224">
        <v>0</v>
      </c>
      <c r="H420" s="224">
        <v>0</v>
      </c>
      <c r="I420" s="226">
        <v>0</v>
      </c>
      <c r="J420" s="224">
        <v>0</v>
      </c>
      <c r="K420" s="226">
        <v>0</v>
      </c>
      <c r="L420" s="224">
        <v>0</v>
      </c>
      <c r="M420" s="225">
        <v>0</v>
      </c>
      <c r="N420" s="224">
        <v>0</v>
      </c>
      <c r="O420" s="202"/>
    </row>
    <row r="421" spans="1:15">
      <c r="A421" s="209">
        <v>358</v>
      </c>
      <c r="B421" s="227" t="s">
        <v>503</v>
      </c>
      <c r="C421" s="224">
        <v>1570553.76</v>
      </c>
      <c r="D421" s="224">
        <v>1570553.76</v>
      </c>
      <c r="E421" s="225">
        <v>0</v>
      </c>
      <c r="F421" s="224">
        <v>0</v>
      </c>
      <c r="G421" s="224">
        <v>0</v>
      </c>
      <c r="H421" s="224">
        <v>0</v>
      </c>
      <c r="I421" s="226">
        <v>0</v>
      </c>
      <c r="J421" s="224">
        <v>0</v>
      </c>
      <c r="K421" s="226">
        <v>0</v>
      </c>
      <c r="L421" s="224">
        <v>0</v>
      </c>
      <c r="M421" s="225">
        <v>0</v>
      </c>
      <c r="N421" s="224">
        <v>0</v>
      </c>
      <c r="O421" s="202"/>
    </row>
    <row r="422" spans="1:15">
      <c r="A422" s="209">
        <v>359</v>
      </c>
      <c r="B422" s="227" t="s">
        <v>504</v>
      </c>
      <c r="C422" s="224">
        <v>2973404.9</v>
      </c>
      <c r="D422" s="224">
        <v>2973404.9</v>
      </c>
      <c r="E422" s="225">
        <v>0</v>
      </c>
      <c r="F422" s="224">
        <v>0</v>
      </c>
      <c r="G422" s="224">
        <v>0</v>
      </c>
      <c r="H422" s="224">
        <v>0</v>
      </c>
      <c r="I422" s="226">
        <v>0</v>
      </c>
      <c r="J422" s="224">
        <v>0</v>
      </c>
      <c r="K422" s="226">
        <v>0</v>
      </c>
      <c r="L422" s="224">
        <v>0</v>
      </c>
      <c r="M422" s="225">
        <v>0</v>
      </c>
      <c r="N422" s="224">
        <v>0</v>
      </c>
      <c r="O422" s="202"/>
    </row>
    <row r="423" spans="1:15">
      <c r="A423" s="209">
        <v>360</v>
      </c>
      <c r="B423" s="227" t="s">
        <v>508</v>
      </c>
      <c r="C423" s="224">
        <v>709197</v>
      </c>
      <c r="D423" s="224">
        <v>709197</v>
      </c>
      <c r="E423" s="225">
        <v>0</v>
      </c>
      <c r="F423" s="224">
        <v>0</v>
      </c>
      <c r="G423" s="224">
        <v>0</v>
      </c>
      <c r="H423" s="224">
        <v>0</v>
      </c>
      <c r="I423" s="226">
        <v>0</v>
      </c>
      <c r="J423" s="224">
        <v>0</v>
      </c>
      <c r="K423" s="226">
        <v>0</v>
      </c>
      <c r="L423" s="224">
        <v>0</v>
      </c>
      <c r="M423" s="225">
        <v>0</v>
      </c>
      <c r="N423" s="224">
        <v>0</v>
      </c>
      <c r="O423" s="202"/>
    </row>
    <row r="424" spans="1:15">
      <c r="A424" s="209">
        <v>361</v>
      </c>
      <c r="B424" s="227" t="s">
        <v>509</v>
      </c>
      <c r="C424" s="224">
        <v>1589952</v>
      </c>
      <c r="D424" s="224">
        <v>1589952</v>
      </c>
      <c r="E424" s="225">
        <v>0</v>
      </c>
      <c r="F424" s="224">
        <v>0</v>
      </c>
      <c r="G424" s="224">
        <v>0</v>
      </c>
      <c r="H424" s="224">
        <v>0</v>
      </c>
      <c r="I424" s="226">
        <v>0</v>
      </c>
      <c r="J424" s="224">
        <v>0</v>
      </c>
      <c r="K424" s="226">
        <v>0</v>
      </c>
      <c r="L424" s="224">
        <v>0</v>
      </c>
      <c r="M424" s="225">
        <v>0</v>
      </c>
      <c r="N424" s="224">
        <v>0</v>
      </c>
      <c r="O424" s="202"/>
    </row>
    <row r="425" spans="1:15" ht="45">
      <c r="A425" s="209"/>
      <c r="B425" s="227" t="s">
        <v>642</v>
      </c>
      <c r="C425" s="224">
        <v>2014469</v>
      </c>
      <c r="D425" s="224">
        <v>0</v>
      </c>
      <c r="E425" s="225">
        <v>0</v>
      </c>
      <c r="F425" s="224">
        <v>0</v>
      </c>
      <c r="G425" s="224">
        <v>1019</v>
      </c>
      <c r="H425" s="224">
        <v>2014469</v>
      </c>
      <c r="I425" s="226">
        <v>0</v>
      </c>
      <c r="J425" s="224">
        <v>0</v>
      </c>
      <c r="K425" s="226">
        <v>0</v>
      </c>
      <c r="L425" s="224">
        <v>0</v>
      </c>
      <c r="M425" s="225">
        <v>0</v>
      </c>
      <c r="N425" s="224">
        <v>0</v>
      </c>
      <c r="O425" s="202"/>
    </row>
    <row r="426" spans="1:15">
      <c r="A426" s="209">
        <v>362</v>
      </c>
      <c r="B426" s="227" t="s">
        <v>510</v>
      </c>
      <c r="C426" s="224">
        <v>2014469</v>
      </c>
      <c r="D426" s="224">
        <v>0</v>
      </c>
      <c r="E426" s="225">
        <v>0</v>
      </c>
      <c r="F426" s="224">
        <v>0</v>
      </c>
      <c r="G426" s="224">
        <v>1019</v>
      </c>
      <c r="H426" s="224">
        <v>2014469</v>
      </c>
      <c r="I426" s="226">
        <v>0</v>
      </c>
      <c r="J426" s="224">
        <v>0</v>
      </c>
      <c r="K426" s="226">
        <v>0</v>
      </c>
      <c r="L426" s="224">
        <v>0</v>
      </c>
      <c r="M426" s="225">
        <v>0</v>
      </c>
      <c r="N426" s="224">
        <v>0</v>
      </c>
      <c r="O426" s="202"/>
    </row>
    <row r="427" spans="1:15" s="17" customFormat="1" ht="30">
      <c r="A427" s="209"/>
      <c r="B427" s="227" t="s">
        <v>643</v>
      </c>
      <c r="C427" s="224">
        <v>238576.03</v>
      </c>
      <c r="D427" s="224">
        <v>238576.03</v>
      </c>
      <c r="E427" s="225">
        <v>0</v>
      </c>
      <c r="F427" s="224">
        <v>0</v>
      </c>
      <c r="G427" s="224">
        <v>0</v>
      </c>
      <c r="H427" s="224">
        <v>0</v>
      </c>
      <c r="I427" s="226">
        <v>0</v>
      </c>
      <c r="J427" s="224">
        <v>0</v>
      </c>
      <c r="K427" s="226">
        <v>0</v>
      </c>
      <c r="L427" s="224">
        <v>0</v>
      </c>
      <c r="M427" s="225">
        <v>0</v>
      </c>
      <c r="N427" s="224">
        <v>0</v>
      </c>
      <c r="O427" s="202"/>
    </row>
    <row r="428" spans="1:15">
      <c r="A428" s="209">
        <v>363</v>
      </c>
      <c r="B428" s="233" t="s">
        <v>565</v>
      </c>
      <c r="C428" s="224">
        <v>238576.03</v>
      </c>
      <c r="D428" s="224">
        <v>238576.03</v>
      </c>
      <c r="E428" s="225">
        <v>0</v>
      </c>
      <c r="F428" s="224">
        <v>0</v>
      </c>
      <c r="G428" s="224">
        <v>0</v>
      </c>
      <c r="H428" s="224">
        <v>0</v>
      </c>
      <c r="I428" s="226">
        <v>0</v>
      </c>
      <c r="J428" s="224">
        <v>0</v>
      </c>
      <c r="K428" s="226">
        <v>0</v>
      </c>
      <c r="L428" s="224">
        <v>0</v>
      </c>
      <c r="M428" s="225">
        <v>0</v>
      </c>
      <c r="N428" s="224">
        <v>0</v>
      </c>
      <c r="O428" s="202"/>
    </row>
    <row r="429" spans="1:15">
      <c r="A429" s="209"/>
      <c r="B429" s="233" t="s">
        <v>62</v>
      </c>
      <c r="C429" s="224">
        <v>2349784.02</v>
      </c>
      <c r="D429" s="224">
        <v>0</v>
      </c>
      <c r="E429" s="225">
        <v>0</v>
      </c>
      <c r="F429" s="224">
        <v>0</v>
      </c>
      <c r="G429" s="224">
        <v>709</v>
      </c>
      <c r="H429" s="224">
        <v>2349784.02</v>
      </c>
      <c r="I429" s="226">
        <v>0</v>
      </c>
      <c r="J429" s="224">
        <v>0</v>
      </c>
      <c r="K429" s="226">
        <v>0</v>
      </c>
      <c r="L429" s="224">
        <v>0</v>
      </c>
      <c r="M429" s="225">
        <v>0</v>
      </c>
      <c r="N429" s="224">
        <v>0</v>
      </c>
      <c r="O429" s="202"/>
    </row>
    <row r="430" spans="1:15" ht="30">
      <c r="A430" s="209"/>
      <c r="B430" s="227" t="s">
        <v>644</v>
      </c>
      <c r="C430" s="224">
        <v>2349784.02</v>
      </c>
      <c r="D430" s="224">
        <v>0</v>
      </c>
      <c r="E430" s="225">
        <v>0</v>
      </c>
      <c r="F430" s="224">
        <v>0</v>
      </c>
      <c r="G430" s="224">
        <v>709</v>
      </c>
      <c r="H430" s="224">
        <v>2349784.02</v>
      </c>
      <c r="I430" s="226">
        <v>0</v>
      </c>
      <c r="J430" s="224">
        <v>0</v>
      </c>
      <c r="K430" s="226">
        <v>0</v>
      </c>
      <c r="L430" s="224">
        <v>0</v>
      </c>
      <c r="M430" s="225">
        <v>0</v>
      </c>
      <c r="N430" s="224">
        <v>0</v>
      </c>
      <c r="O430" s="202"/>
    </row>
    <row r="431" spans="1:15">
      <c r="A431" s="209">
        <v>364</v>
      </c>
      <c r="B431" s="227" t="s">
        <v>668</v>
      </c>
      <c r="C431" s="224">
        <v>1088403.02</v>
      </c>
      <c r="D431" s="224">
        <v>0</v>
      </c>
      <c r="E431" s="225">
        <v>0</v>
      </c>
      <c r="F431" s="224">
        <v>0</v>
      </c>
      <c r="G431" s="224">
        <v>709</v>
      </c>
      <c r="H431" s="224">
        <v>1088403.02</v>
      </c>
      <c r="I431" s="226">
        <v>0</v>
      </c>
      <c r="J431" s="224">
        <v>0</v>
      </c>
      <c r="K431" s="226">
        <v>0</v>
      </c>
      <c r="L431" s="224">
        <v>0</v>
      </c>
      <c r="M431" s="225">
        <v>0</v>
      </c>
      <c r="N431" s="224">
        <v>0</v>
      </c>
      <c r="O431" s="202"/>
    </row>
    <row r="432" spans="1:15">
      <c r="A432" s="209">
        <v>365</v>
      </c>
      <c r="B432" s="227" t="s">
        <v>669</v>
      </c>
      <c r="C432" s="224">
        <v>1261381</v>
      </c>
      <c r="D432" s="224">
        <v>0</v>
      </c>
      <c r="E432" s="225">
        <v>0</v>
      </c>
      <c r="F432" s="224">
        <v>0</v>
      </c>
      <c r="G432" s="224">
        <v>640</v>
      </c>
      <c r="H432" s="224">
        <v>1261381</v>
      </c>
      <c r="I432" s="226">
        <v>0</v>
      </c>
      <c r="J432" s="224">
        <v>0</v>
      </c>
      <c r="K432" s="226">
        <v>0</v>
      </c>
      <c r="L432" s="224">
        <v>0</v>
      </c>
      <c r="M432" s="225">
        <v>0</v>
      </c>
      <c r="N432" s="224">
        <v>0</v>
      </c>
      <c r="O432" s="202"/>
    </row>
    <row r="433" spans="1:15">
      <c r="A433" s="209"/>
      <c r="B433" s="233" t="s">
        <v>63</v>
      </c>
      <c r="C433" s="224">
        <v>12228909</v>
      </c>
      <c r="D433" s="224">
        <v>215709</v>
      </c>
      <c r="E433" s="225">
        <v>0</v>
      </c>
      <c r="F433" s="224">
        <v>0</v>
      </c>
      <c r="G433" s="224">
        <v>6001.34</v>
      </c>
      <c r="H433" s="224">
        <v>12013200</v>
      </c>
      <c r="I433" s="226">
        <v>0</v>
      </c>
      <c r="J433" s="224">
        <v>0</v>
      </c>
      <c r="K433" s="226">
        <v>0</v>
      </c>
      <c r="L433" s="224">
        <v>0</v>
      </c>
      <c r="M433" s="225">
        <v>0</v>
      </c>
      <c r="N433" s="224">
        <v>0</v>
      </c>
      <c r="O433" s="202"/>
    </row>
    <row r="434" spans="1:15" ht="30">
      <c r="A434" s="209"/>
      <c r="B434" s="227" t="s">
        <v>645</v>
      </c>
      <c r="C434" s="224">
        <v>12228909</v>
      </c>
      <c r="D434" s="224">
        <v>215709</v>
      </c>
      <c r="E434" s="225">
        <v>0</v>
      </c>
      <c r="F434" s="224">
        <v>0</v>
      </c>
      <c r="G434" s="224">
        <v>6001.34</v>
      </c>
      <c r="H434" s="224">
        <v>12013200</v>
      </c>
      <c r="I434" s="226">
        <v>0</v>
      </c>
      <c r="J434" s="224">
        <v>0</v>
      </c>
      <c r="K434" s="226">
        <v>0</v>
      </c>
      <c r="L434" s="224">
        <v>0</v>
      </c>
      <c r="M434" s="225">
        <v>0</v>
      </c>
      <c r="N434" s="224">
        <v>0</v>
      </c>
      <c r="O434" s="202"/>
    </row>
    <row r="435" spans="1:15" s="25" customFormat="1">
      <c r="A435" s="209">
        <v>366</v>
      </c>
      <c r="B435" s="256" t="s">
        <v>116</v>
      </c>
      <c r="C435" s="251">
        <v>1668544</v>
      </c>
      <c r="D435" s="207">
        <v>0</v>
      </c>
      <c r="E435" s="215">
        <v>0</v>
      </c>
      <c r="F435" s="220">
        <v>0</v>
      </c>
      <c r="G435" s="210">
        <v>840</v>
      </c>
      <c r="H435" s="255">
        <v>1668544</v>
      </c>
      <c r="I435" s="211">
        <v>0</v>
      </c>
      <c r="J435" s="210">
        <v>0</v>
      </c>
      <c r="K435" s="211">
        <v>0</v>
      </c>
      <c r="L435" s="210">
        <v>0</v>
      </c>
      <c r="M435" s="219">
        <v>0</v>
      </c>
      <c r="N435" s="210">
        <v>0</v>
      </c>
      <c r="O435" s="202"/>
    </row>
    <row r="436" spans="1:15" s="25" customFormat="1">
      <c r="A436" s="209">
        <v>367</v>
      </c>
      <c r="B436" s="256" t="s">
        <v>511</v>
      </c>
      <c r="C436" s="224">
        <v>2239107</v>
      </c>
      <c r="D436" s="207">
        <v>0</v>
      </c>
      <c r="E436" s="215">
        <v>0</v>
      </c>
      <c r="F436" s="220">
        <v>0</v>
      </c>
      <c r="G436" s="210">
        <v>1101</v>
      </c>
      <c r="H436" s="255">
        <v>2239107</v>
      </c>
      <c r="I436" s="211">
        <v>0</v>
      </c>
      <c r="J436" s="210">
        <v>0</v>
      </c>
      <c r="K436" s="211">
        <v>0</v>
      </c>
      <c r="L436" s="210">
        <v>0</v>
      </c>
      <c r="M436" s="219">
        <v>0</v>
      </c>
      <c r="N436" s="210">
        <v>0</v>
      </c>
      <c r="O436" s="202"/>
    </row>
    <row r="437" spans="1:15" s="25" customFormat="1">
      <c r="A437" s="209">
        <v>368</v>
      </c>
      <c r="B437" s="256" t="s">
        <v>540</v>
      </c>
      <c r="C437" s="251">
        <v>215709</v>
      </c>
      <c r="D437" s="207">
        <v>215709</v>
      </c>
      <c r="E437" s="215">
        <v>0</v>
      </c>
      <c r="F437" s="220">
        <v>0</v>
      </c>
      <c r="G437" s="210">
        <v>0</v>
      </c>
      <c r="H437" s="255">
        <v>0</v>
      </c>
      <c r="I437" s="211">
        <v>0</v>
      </c>
      <c r="J437" s="210">
        <v>0</v>
      </c>
      <c r="K437" s="211">
        <v>0</v>
      </c>
      <c r="L437" s="210">
        <v>0</v>
      </c>
      <c r="M437" s="219">
        <v>0</v>
      </c>
      <c r="N437" s="210">
        <v>0</v>
      </c>
      <c r="O437" s="202"/>
    </row>
    <row r="438" spans="1:15" s="25" customFormat="1">
      <c r="A438" s="209">
        <v>369</v>
      </c>
      <c r="B438" s="256" t="s">
        <v>111</v>
      </c>
      <c r="C438" s="224">
        <v>706234</v>
      </c>
      <c r="D438" s="207">
        <v>0</v>
      </c>
      <c r="E438" s="215">
        <v>0</v>
      </c>
      <c r="F438" s="220">
        <v>0</v>
      </c>
      <c r="G438" s="210">
        <v>348</v>
      </c>
      <c r="H438" s="255">
        <v>706234</v>
      </c>
      <c r="I438" s="211">
        <v>0</v>
      </c>
      <c r="J438" s="210">
        <v>0</v>
      </c>
      <c r="K438" s="211">
        <v>0</v>
      </c>
      <c r="L438" s="210">
        <v>0</v>
      </c>
      <c r="M438" s="219">
        <v>0</v>
      </c>
      <c r="N438" s="210">
        <v>0</v>
      </c>
      <c r="O438" s="202"/>
    </row>
    <row r="439" spans="1:15" s="25" customFormat="1">
      <c r="A439" s="209">
        <v>370</v>
      </c>
      <c r="B439" s="256" t="s">
        <v>110</v>
      </c>
      <c r="C439" s="224">
        <v>651603</v>
      </c>
      <c r="D439" s="207">
        <v>0</v>
      </c>
      <c r="E439" s="215">
        <v>0</v>
      </c>
      <c r="F439" s="220">
        <v>0</v>
      </c>
      <c r="G439" s="210">
        <v>320</v>
      </c>
      <c r="H439" s="255">
        <v>651603</v>
      </c>
      <c r="I439" s="211">
        <v>0</v>
      </c>
      <c r="J439" s="210">
        <v>0</v>
      </c>
      <c r="K439" s="211">
        <v>0</v>
      </c>
      <c r="L439" s="210">
        <v>0</v>
      </c>
      <c r="M439" s="219">
        <v>0</v>
      </c>
      <c r="N439" s="210">
        <v>0</v>
      </c>
      <c r="O439" s="202"/>
    </row>
    <row r="440" spans="1:15" s="25" customFormat="1">
      <c r="A440" s="209">
        <v>371</v>
      </c>
      <c r="B440" s="256" t="s">
        <v>512</v>
      </c>
      <c r="C440" s="251">
        <v>698701</v>
      </c>
      <c r="D440" s="207">
        <v>0</v>
      </c>
      <c r="E440" s="215">
        <v>0</v>
      </c>
      <c r="F440" s="220">
        <v>0</v>
      </c>
      <c r="G440" s="210">
        <v>352</v>
      </c>
      <c r="H440" s="255">
        <v>698701</v>
      </c>
      <c r="I440" s="211">
        <v>0</v>
      </c>
      <c r="J440" s="210">
        <v>0</v>
      </c>
      <c r="K440" s="211">
        <v>0</v>
      </c>
      <c r="L440" s="210">
        <v>0</v>
      </c>
      <c r="M440" s="219">
        <v>0</v>
      </c>
      <c r="N440" s="210">
        <v>0</v>
      </c>
      <c r="O440" s="202"/>
    </row>
    <row r="441" spans="1:15" s="25" customFormat="1">
      <c r="A441" s="209">
        <v>372</v>
      </c>
      <c r="B441" s="256" t="s">
        <v>112</v>
      </c>
      <c r="C441" s="251">
        <v>1512903</v>
      </c>
      <c r="D441" s="207">
        <v>0</v>
      </c>
      <c r="E441" s="215">
        <v>0</v>
      </c>
      <c r="F441" s="220">
        <v>0</v>
      </c>
      <c r="G441" s="210">
        <v>762</v>
      </c>
      <c r="H441" s="255">
        <v>1512903</v>
      </c>
      <c r="I441" s="211">
        <v>0</v>
      </c>
      <c r="J441" s="210">
        <v>0</v>
      </c>
      <c r="K441" s="211">
        <v>0</v>
      </c>
      <c r="L441" s="210">
        <v>0</v>
      </c>
      <c r="M441" s="219">
        <v>0</v>
      </c>
      <c r="N441" s="210">
        <v>0</v>
      </c>
      <c r="O441" s="202"/>
    </row>
    <row r="442" spans="1:15" s="25" customFormat="1">
      <c r="A442" s="209">
        <v>373</v>
      </c>
      <c r="B442" s="256" t="s">
        <v>113</v>
      </c>
      <c r="C442" s="251">
        <v>2294873</v>
      </c>
      <c r="D442" s="207">
        <v>0</v>
      </c>
      <c r="E442" s="215">
        <v>0</v>
      </c>
      <c r="F442" s="220">
        <v>0</v>
      </c>
      <c r="G442" s="210">
        <v>1162</v>
      </c>
      <c r="H442" s="255">
        <v>2294873</v>
      </c>
      <c r="I442" s="211">
        <v>0</v>
      </c>
      <c r="J442" s="210">
        <v>0</v>
      </c>
      <c r="K442" s="249">
        <v>0</v>
      </c>
      <c r="L442" s="255">
        <v>0</v>
      </c>
      <c r="M442" s="219">
        <v>0</v>
      </c>
      <c r="N442" s="210">
        <v>0</v>
      </c>
      <c r="O442" s="202"/>
    </row>
    <row r="443" spans="1:15" s="25" customFormat="1">
      <c r="A443" s="209">
        <v>374</v>
      </c>
      <c r="B443" s="256" t="s">
        <v>114</v>
      </c>
      <c r="C443" s="251">
        <v>879987</v>
      </c>
      <c r="D443" s="207">
        <v>0</v>
      </c>
      <c r="E443" s="215">
        <v>0</v>
      </c>
      <c r="F443" s="220">
        <v>0</v>
      </c>
      <c r="G443" s="210">
        <v>436.34</v>
      </c>
      <c r="H443" s="255">
        <v>879987</v>
      </c>
      <c r="I443" s="211">
        <v>0</v>
      </c>
      <c r="J443" s="210">
        <v>0</v>
      </c>
      <c r="K443" s="211">
        <v>0</v>
      </c>
      <c r="L443" s="255">
        <v>0</v>
      </c>
      <c r="M443" s="219">
        <v>0</v>
      </c>
      <c r="N443" s="210">
        <v>0</v>
      </c>
      <c r="O443" s="202"/>
    </row>
    <row r="444" spans="1:15" s="25" customFormat="1">
      <c r="A444" s="209">
        <v>375</v>
      </c>
      <c r="B444" s="256" t="s">
        <v>115</v>
      </c>
      <c r="C444" s="251">
        <v>1361248</v>
      </c>
      <c r="D444" s="207">
        <v>0</v>
      </c>
      <c r="E444" s="215">
        <v>0</v>
      </c>
      <c r="F444" s="220">
        <v>0</v>
      </c>
      <c r="G444" s="210">
        <v>680</v>
      </c>
      <c r="H444" s="255">
        <v>1361248</v>
      </c>
      <c r="I444" s="211">
        <v>0</v>
      </c>
      <c r="J444" s="210">
        <v>0</v>
      </c>
      <c r="K444" s="249">
        <v>0</v>
      </c>
      <c r="L444" s="255">
        <v>0</v>
      </c>
      <c r="M444" s="219">
        <v>0</v>
      </c>
      <c r="N444" s="210">
        <v>0</v>
      </c>
      <c r="O444" s="202"/>
    </row>
    <row r="445" spans="1:15">
      <c r="A445" s="205"/>
      <c r="B445" s="233" t="s">
        <v>64</v>
      </c>
      <c r="C445" s="224">
        <v>5677313</v>
      </c>
      <c r="D445" s="224">
        <v>821701</v>
      </c>
      <c r="E445" s="225">
        <v>0</v>
      </c>
      <c r="F445" s="224">
        <v>0</v>
      </c>
      <c r="G445" s="224">
        <v>2783</v>
      </c>
      <c r="H445" s="224">
        <v>2927869</v>
      </c>
      <c r="I445" s="226">
        <v>0</v>
      </c>
      <c r="J445" s="224">
        <v>0</v>
      </c>
      <c r="K445" s="224">
        <v>332.71999999999991</v>
      </c>
      <c r="L445" s="224">
        <v>1546345</v>
      </c>
      <c r="M445" s="261">
        <v>212</v>
      </c>
      <c r="N445" s="224">
        <v>381398</v>
      </c>
      <c r="O445" s="202"/>
    </row>
    <row r="446" spans="1:15" ht="30">
      <c r="A446" s="209"/>
      <c r="B446" s="256" t="s">
        <v>657</v>
      </c>
      <c r="C446" s="221">
        <v>4240489</v>
      </c>
      <c r="D446" s="221">
        <v>717701</v>
      </c>
      <c r="E446" s="231">
        <v>0</v>
      </c>
      <c r="F446" s="221">
        <v>0</v>
      </c>
      <c r="G446" s="221">
        <v>1927</v>
      </c>
      <c r="H446" s="221">
        <v>1976443</v>
      </c>
      <c r="I446" s="232">
        <v>0</v>
      </c>
      <c r="J446" s="221">
        <v>0</v>
      </c>
      <c r="K446" s="221">
        <v>332.71999999999991</v>
      </c>
      <c r="L446" s="221">
        <v>1546345</v>
      </c>
      <c r="M446" s="231">
        <v>0</v>
      </c>
      <c r="N446" s="221">
        <v>0</v>
      </c>
      <c r="O446" s="202"/>
    </row>
    <row r="447" spans="1:15">
      <c r="A447" s="209">
        <v>376</v>
      </c>
      <c r="B447" s="256" t="s">
        <v>333</v>
      </c>
      <c r="C447" s="221">
        <v>26937</v>
      </c>
      <c r="D447" s="221">
        <v>0</v>
      </c>
      <c r="E447" s="231">
        <v>0</v>
      </c>
      <c r="F447" s="221">
        <v>0</v>
      </c>
      <c r="G447" s="221">
        <v>0</v>
      </c>
      <c r="H447" s="221">
        <v>0</v>
      </c>
      <c r="I447" s="232">
        <v>0</v>
      </c>
      <c r="J447" s="221">
        <v>0</v>
      </c>
      <c r="K447" s="221">
        <v>6.1</v>
      </c>
      <c r="L447" s="221">
        <v>26937</v>
      </c>
      <c r="M447" s="231">
        <v>0</v>
      </c>
      <c r="N447" s="267">
        <v>0</v>
      </c>
      <c r="O447" s="202"/>
    </row>
    <row r="448" spans="1:15">
      <c r="A448" s="209">
        <v>377</v>
      </c>
      <c r="B448" s="256" t="s">
        <v>310</v>
      </c>
      <c r="C448" s="221">
        <v>367511</v>
      </c>
      <c r="D448" s="221">
        <v>214198</v>
      </c>
      <c r="E448" s="231">
        <v>0</v>
      </c>
      <c r="F448" s="221">
        <v>0</v>
      </c>
      <c r="G448" s="221">
        <v>0</v>
      </c>
      <c r="H448" s="221">
        <v>0</v>
      </c>
      <c r="I448" s="232">
        <v>0</v>
      </c>
      <c r="J448" s="221">
        <v>0</v>
      </c>
      <c r="K448" s="268">
        <v>29.9</v>
      </c>
      <c r="L448" s="221">
        <v>153313</v>
      </c>
      <c r="M448" s="231">
        <v>0</v>
      </c>
      <c r="N448" s="267">
        <v>0</v>
      </c>
      <c r="O448" s="202"/>
    </row>
    <row r="449" spans="1:15">
      <c r="A449" s="209">
        <v>378</v>
      </c>
      <c r="B449" s="256" t="s">
        <v>344</v>
      </c>
      <c r="C449" s="221">
        <v>149481</v>
      </c>
      <c r="D449" s="221">
        <v>0</v>
      </c>
      <c r="E449" s="231">
        <v>0</v>
      </c>
      <c r="F449" s="221">
        <v>0</v>
      </c>
      <c r="G449" s="221">
        <v>0</v>
      </c>
      <c r="H449" s="221">
        <v>0</v>
      </c>
      <c r="I449" s="232">
        <v>0</v>
      </c>
      <c r="J449" s="221">
        <v>0</v>
      </c>
      <c r="K449" s="221">
        <v>28.1</v>
      </c>
      <c r="L449" s="221">
        <v>149481</v>
      </c>
      <c r="M449" s="231">
        <v>0</v>
      </c>
      <c r="N449" s="267">
        <v>0</v>
      </c>
      <c r="O449" s="202"/>
    </row>
    <row r="450" spans="1:15">
      <c r="A450" s="209">
        <v>379</v>
      </c>
      <c r="B450" s="256" t="s">
        <v>548</v>
      </c>
      <c r="C450" s="221">
        <v>26122</v>
      </c>
      <c r="D450" s="221">
        <v>0</v>
      </c>
      <c r="E450" s="231">
        <v>0</v>
      </c>
      <c r="F450" s="221">
        <v>0</v>
      </c>
      <c r="G450" s="221">
        <v>0</v>
      </c>
      <c r="H450" s="221">
        <v>0</v>
      </c>
      <c r="I450" s="232">
        <v>0</v>
      </c>
      <c r="J450" s="221">
        <v>0</v>
      </c>
      <c r="K450" s="221">
        <v>3.7</v>
      </c>
      <c r="L450" s="221">
        <v>26122</v>
      </c>
      <c r="M450" s="231">
        <v>0</v>
      </c>
      <c r="N450" s="267">
        <v>0</v>
      </c>
      <c r="O450" s="202"/>
    </row>
    <row r="451" spans="1:15">
      <c r="A451" s="209">
        <v>380</v>
      </c>
      <c r="B451" s="256" t="s">
        <v>549</v>
      </c>
      <c r="C451" s="221">
        <v>41000</v>
      </c>
      <c r="D451" s="221">
        <v>0</v>
      </c>
      <c r="E451" s="231">
        <v>0</v>
      </c>
      <c r="F451" s="221">
        <v>0</v>
      </c>
      <c r="G451" s="221">
        <v>0</v>
      </c>
      <c r="H451" s="221">
        <v>0</v>
      </c>
      <c r="I451" s="232">
        <v>0</v>
      </c>
      <c r="J451" s="221">
        <v>0</v>
      </c>
      <c r="K451" s="268">
        <v>11.8</v>
      </c>
      <c r="L451" s="221">
        <v>41000</v>
      </c>
      <c r="M451" s="231">
        <v>0</v>
      </c>
      <c r="N451" s="267">
        <v>0</v>
      </c>
      <c r="O451" s="202"/>
    </row>
    <row r="452" spans="1:15">
      <c r="A452" s="209">
        <v>381</v>
      </c>
      <c r="B452" s="256" t="s">
        <v>321</v>
      </c>
      <c r="C452" s="221">
        <v>8123</v>
      </c>
      <c r="D452" s="221">
        <v>0</v>
      </c>
      <c r="E452" s="231">
        <v>0</v>
      </c>
      <c r="F452" s="221">
        <v>0</v>
      </c>
      <c r="G452" s="221">
        <v>0</v>
      </c>
      <c r="H452" s="221">
        <v>0</v>
      </c>
      <c r="I452" s="232">
        <v>0</v>
      </c>
      <c r="J452" s="221">
        <v>0</v>
      </c>
      <c r="K452" s="221">
        <v>1.8</v>
      </c>
      <c r="L452" s="221">
        <v>8123</v>
      </c>
      <c r="M452" s="231">
        <v>0</v>
      </c>
      <c r="N452" s="267">
        <v>0</v>
      </c>
      <c r="O452" s="202"/>
    </row>
    <row r="453" spans="1:15">
      <c r="A453" s="209">
        <v>382</v>
      </c>
      <c r="B453" s="256" t="s">
        <v>329</v>
      </c>
      <c r="C453" s="221">
        <v>29604</v>
      </c>
      <c r="D453" s="221">
        <v>0</v>
      </c>
      <c r="E453" s="231">
        <v>0</v>
      </c>
      <c r="F453" s="221">
        <v>0</v>
      </c>
      <c r="G453" s="221">
        <v>0</v>
      </c>
      <c r="H453" s="221">
        <v>0</v>
      </c>
      <c r="I453" s="232">
        <v>0</v>
      </c>
      <c r="J453" s="221">
        <v>0</v>
      </c>
      <c r="K453" s="221">
        <v>6.6</v>
      </c>
      <c r="L453" s="221">
        <v>29604</v>
      </c>
      <c r="M453" s="231">
        <v>0</v>
      </c>
      <c r="N453" s="267">
        <v>0</v>
      </c>
      <c r="O453" s="202"/>
    </row>
    <row r="454" spans="1:15">
      <c r="A454" s="209">
        <v>383</v>
      </c>
      <c r="B454" s="256" t="s">
        <v>330</v>
      </c>
      <c r="C454" s="221">
        <v>29704</v>
      </c>
      <c r="D454" s="221">
        <v>0</v>
      </c>
      <c r="E454" s="231">
        <v>0</v>
      </c>
      <c r="F454" s="221">
        <v>0</v>
      </c>
      <c r="G454" s="221">
        <v>0</v>
      </c>
      <c r="H454" s="221">
        <v>0</v>
      </c>
      <c r="I454" s="232">
        <v>0</v>
      </c>
      <c r="J454" s="221">
        <v>0</v>
      </c>
      <c r="K454" s="221">
        <v>6.6</v>
      </c>
      <c r="L454" s="221">
        <v>29704</v>
      </c>
      <c r="M454" s="231">
        <v>0</v>
      </c>
      <c r="N454" s="267">
        <v>0</v>
      </c>
      <c r="O454" s="202"/>
    </row>
    <row r="455" spans="1:15">
      <c r="A455" s="209">
        <v>384</v>
      </c>
      <c r="B455" s="256" t="s">
        <v>331</v>
      </c>
      <c r="C455" s="221">
        <v>20173</v>
      </c>
      <c r="D455" s="221">
        <v>0</v>
      </c>
      <c r="E455" s="231">
        <v>0</v>
      </c>
      <c r="F455" s="221">
        <v>0</v>
      </c>
      <c r="G455" s="221">
        <v>0</v>
      </c>
      <c r="H455" s="221">
        <v>0</v>
      </c>
      <c r="I455" s="232">
        <v>0</v>
      </c>
      <c r="J455" s="221">
        <v>0</v>
      </c>
      <c r="K455" s="221">
        <v>4</v>
      </c>
      <c r="L455" s="221">
        <v>20173</v>
      </c>
      <c r="M455" s="231">
        <v>0</v>
      </c>
      <c r="N455" s="267">
        <v>0</v>
      </c>
      <c r="O455" s="202"/>
    </row>
    <row r="456" spans="1:15">
      <c r="A456" s="209">
        <v>385</v>
      </c>
      <c r="B456" s="256" t="s">
        <v>320</v>
      </c>
      <c r="C456" s="221">
        <v>23000</v>
      </c>
      <c r="D456" s="221">
        <v>0</v>
      </c>
      <c r="E456" s="231">
        <v>0</v>
      </c>
      <c r="F456" s="221">
        <v>0</v>
      </c>
      <c r="G456" s="221">
        <v>0</v>
      </c>
      <c r="H456" s="221">
        <v>0</v>
      </c>
      <c r="I456" s="232">
        <v>0</v>
      </c>
      <c r="J456" s="221">
        <v>0</v>
      </c>
      <c r="K456" s="221">
        <v>5.8</v>
      </c>
      <c r="L456" s="221">
        <v>23000</v>
      </c>
      <c r="M456" s="231">
        <v>0</v>
      </c>
      <c r="N456" s="267">
        <v>0</v>
      </c>
      <c r="O456" s="202"/>
    </row>
    <row r="457" spans="1:15">
      <c r="A457" s="209">
        <v>386</v>
      </c>
      <c r="B457" s="256" t="s">
        <v>332</v>
      </c>
      <c r="C457" s="221">
        <v>17896</v>
      </c>
      <c r="D457" s="221">
        <v>0</v>
      </c>
      <c r="E457" s="231">
        <v>0</v>
      </c>
      <c r="F457" s="221">
        <v>0</v>
      </c>
      <c r="G457" s="221">
        <v>0</v>
      </c>
      <c r="H457" s="221">
        <v>0</v>
      </c>
      <c r="I457" s="232">
        <v>0</v>
      </c>
      <c r="J457" s="221">
        <v>0</v>
      </c>
      <c r="K457" s="221">
        <v>3.1</v>
      </c>
      <c r="L457" s="221">
        <v>17896</v>
      </c>
      <c r="M457" s="231">
        <v>0</v>
      </c>
      <c r="N457" s="267">
        <v>0</v>
      </c>
      <c r="O457" s="202"/>
    </row>
    <row r="458" spans="1:15">
      <c r="A458" s="209">
        <v>387</v>
      </c>
      <c r="B458" s="256" t="s">
        <v>542</v>
      </c>
      <c r="C458" s="221">
        <v>23850</v>
      </c>
      <c r="D458" s="221">
        <v>0</v>
      </c>
      <c r="E458" s="231">
        <v>0</v>
      </c>
      <c r="F458" s="221">
        <v>0</v>
      </c>
      <c r="G458" s="221">
        <v>0</v>
      </c>
      <c r="H458" s="221">
        <v>0</v>
      </c>
      <c r="I458" s="232">
        <v>0</v>
      </c>
      <c r="J458" s="221">
        <v>0</v>
      </c>
      <c r="K458" s="268">
        <v>5</v>
      </c>
      <c r="L458" s="221">
        <v>23850</v>
      </c>
      <c r="M458" s="231">
        <v>0</v>
      </c>
      <c r="N458" s="267">
        <v>0</v>
      </c>
      <c r="O458" s="202"/>
    </row>
    <row r="459" spans="1:15">
      <c r="A459" s="209">
        <v>388</v>
      </c>
      <c r="B459" s="256" t="s">
        <v>334</v>
      </c>
      <c r="C459" s="221">
        <v>27047</v>
      </c>
      <c r="D459" s="221">
        <v>0</v>
      </c>
      <c r="E459" s="231">
        <v>0</v>
      </c>
      <c r="F459" s="221">
        <v>0</v>
      </c>
      <c r="G459" s="221">
        <v>0</v>
      </c>
      <c r="H459" s="221">
        <v>0</v>
      </c>
      <c r="I459" s="232">
        <v>0</v>
      </c>
      <c r="J459" s="221">
        <v>0</v>
      </c>
      <c r="K459" s="221">
        <v>10.199999999999999</v>
      </c>
      <c r="L459" s="221">
        <v>27047</v>
      </c>
      <c r="M459" s="231">
        <v>0</v>
      </c>
      <c r="N459" s="267">
        <v>0</v>
      </c>
      <c r="O459" s="202"/>
    </row>
    <row r="460" spans="1:15">
      <c r="A460" s="209">
        <v>389</v>
      </c>
      <c r="B460" s="256" t="s">
        <v>335</v>
      </c>
      <c r="C460" s="221">
        <v>26600</v>
      </c>
      <c r="D460" s="221">
        <v>0</v>
      </c>
      <c r="E460" s="231">
        <v>0</v>
      </c>
      <c r="F460" s="221">
        <v>0</v>
      </c>
      <c r="G460" s="221">
        <v>0</v>
      </c>
      <c r="H460" s="221">
        <v>0</v>
      </c>
      <c r="I460" s="232">
        <v>0</v>
      </c>
      <c r="J460" s="221">
        <v>0</v>
      </c>
      <c r="K460" s="221">
        <v>5.8</v>
      </c>
      <c r="L460" s="221">
        <v>26600</v>
      </c>
      <c r="M460" s="231">
        <v>0</v>
      </c>
      <c r="N460" s="267">
        <v>0</v>
      </c>
      <c r="O460" s="202"/>
    </row>
    <row r="461" spans="1:15">
      <c r="A461" s="209">
        <v>390</v>
      </c>
      <c r="B461" s="256" t="s">
        <v>336</v>
      </c>
      <c r="C461" s="221">
        <v>18076</v>
      </c>
      <c r="D461" s="221">
        <v>0</v>
      </c>
      <c r="E461" s="231">
        <v>0</v>
      </c>
      <c r="F461" s="221">
        <v>0</v>
      </c>
      <c r="G461" s="221">
        <v>0</v>
      </c>
      <c r="H461" s="221">
        <v>0</v>
      </c>
      <c r="I461" s="232">
        <v>0</v>
      </c>
      <c r="J461" s="221">
        <v>0</v>
      </c>
      <c r="K461" s="221">
        <v>3.5</v>
      </c>
      <c r="L461" s="221">
        <v>18076</v>
      </c>
      <c r="M461" s="231">
        <v>0</v>
      </c>
      <c r="N461" s="267">
        <v>0</v>
      </c>
      <c r="O461" s="202"/>
    </row>
    <row r="462" spans="1:15">
      <c r="A462" s="209">
        <v>391</v>
      </c>
      <c r="B462" s="256" t="s">
        <v>311</v>
      </c>
      <c r="C462" s="221">
        <v>16781</v>
      </c>
      <c r="D462" s="221">
        <v>0</v>
      </c>
      <c r="E462" s="231">
        <v>0</v>
      </c>
      <c r="F462" s="221">
        <v>0</v>
      </c>
      <c r="G462" s="221">
        <v>0</v>
      </c>
      <c r="H462" s="221">
        <v>0</v>
      </c>
      <c r="I462" s="232">
        <v>0</v>
      </c>
      <c r="J462" s="221">
        <v>0</v>
      </c>
      <c r="K462" s="268">
        <v>3.6</v>
      </c>
      <c r="L462" s="221">
        <v>16781</v>
      </c>
      <c r="M462" s="231">
        <v>0</v>
      </c>
      <c r="N462" s="267">
        <v>0</v>
      </c>
      <c r="O462" s="202"/>
    </row>
    <row r="463" spans="1:15">
      <c r="A463" s="209">
        <v>392</v>
      </c>
      <c r="B463" s="256" t="s">
        <v>312</v>
      </c>
      <c r="C463" s="221">
        <v>8895</v>
      </c>
      <c r="D463" s="221">
        <v>0</v>
      </c>
      <c r="E463" s="231">
        <v>0</v>
      </c>
      <c r="F463" s="221">
        <v>0</v>
      </c>
      <c r="G463" s="221">
        <v>0</v>
      </c>
      <c r="H463" s="221">
        <v>0</v>
      </c>
      <c r="I463" s="232">
        <v>0</v>
      </c>
      <c r="J463" s="221">
        <v>0</v>
      </c>
      <c r="K463" s="221">
        <v>3.4</v>
      </c>
      <c r="L463" s="221">
        <v>8895</v>
      </c>
      <c r="M463" s="231">
        <v>0</v>
      </c>
      <c r="N463" s="267">
        <v>0</v>
      </c>
      <c r="O463" s="202"/>
    </row>
    <row r="464" spans="1:15">
      <c r="A464" s="209">
        <v>393</v>
      </c>
      <c r="B464" s="256" t="s">
        <v>313</v>
      </c>
      <c r="C464" s="221">
        <v>8895</v>
      </c>
      <c r="D464" s="221">
        <v>0</v>
      </c>
      <c r="E464" s="231">
        <v>0</v>
      </c>
      <c r="F464" s="221">
        <v>0</v>
      </c>
      <c r="G464" s="221">
        <v>0</v>
      </c>
      <c r="H464" s="221">
        <v>0</v>
      </c>
      <c r="I464" s="232">
        <v>0</v>
      </c>
      <c r="J464" s="221">
        <v>0</v>
      </c>
      <c r="K464" s="221">
        <v>2.7</v>
      </c>
      <c r="L464" s="221">
        <v>8895</v>
      </c>
      <c r="M464" s="231">
        <v>0</v>
      </c>
      <c r="N464" s="267">
        <v>0</v>
      </c>
      <c r="O464" s="202"/>
    </row>
    <row r="465" spans="1:15">
      <c r="A465" s="209">
        <v>394</v>
      </c>
      <c r="B465" s="256" t="s">
        <v>314</v>
      </c>
      <c r="C465" s="221">
        <v>17790</v>
      </c>
      <c r="D465" s="221">
        <v>0</v>
      </c>
      <c r="E465" s="231">
        <v>0</v>
      </c>
      <c r="F465" s="221">
        <v>0</v>
      </c>
      <c r="G465" s="221">
        <v>0</v>
      </c>
      <c r="H465" s="221">
        <v>0</v>
      </c>
      <c r="I465" s="232">
        <v>0</v>
      </c>
      <c r="J465" s="221">
        <v>0</v>
      </c>
      <c r="K465" s="221">
        <v>2.7</v>
      </c>
      <c r="L465" s="221">
        <v>17790</v>
      </c>
      <c r="M465" s="231">
        <v>0</v>
      </c>
      <c r="N465" s="267">
        <v>0</v>
      </c>
      <c r="O465" s="202"/>
    </row>
    <row r="466" spans="1:15">
      <c r="A466" s="209">
        <v>395</v>
      </c>
      <c r="B466" s="256" t="s">
        <v>546</v>
      </c>
      <c r="C466" s="221">
        <v>19032</v>
      </c>
      <c r="D466" s="221">
        <v>0</v>
      </c>
      <c r="E466" s="231">
        <v>0</v>
      </c>
      <c r="F466" s="221">
        <v>0</v>
      </c>
      <c r="G466" s="221">
        <v>0</v>
      </c>
      <c r="H466" s="221">
        <v>0</v>
      </c>
      <c r="I466" s="232">
        <v>0</v>
      </c>
      <c r="J466" s="221">
        <v>0</v>
      </c>
      <c r="K466" s="268">
        <v>3.92</v>
      </c>
      <c r="L466" s="221">
        <v>19032</v>
      </c>
      <c r="M466" s="231">
        <v>0</v>
      </c>
      <c r="N466" s="267">
        <v>0</v>
      </c>
      <c r="O466" s="202"/>
    </row>
    <row r="467" spans="1:15">
      <c r="A467" s="209">
        <v>396</v>
      </c>
      <c r="B467" s="256" t="s">
        <v>315</v>
      </c>
      <c r="C467" s="221">
        <v>26680</v>
      </c>
      <c r="D467" s="221">
        <v>0</v>
      </c>
      <c r="E467" s="231">
        <v>0</v>
      </c>
      <c r="F467" s="221">
        <v>0</v>
      </c>
      <c r="G467" s="221">
        <v>0</v>
      </c>
      <c r="H467" s="221">
        <v>0</v>
      </c>
      <c r="I467" s="232">
        <v>0</v>
      </c>
      <c r="J467" s="221">
        <v>0</v>
      </c>
      <c r="K467" s="221">
        <v>3.6</v>
      </c>
      <c r="L467" s="221">
        <v>26680</v>
      </c>
      <c r="M467" s="231">
        <v>0</v>
      </c>
      <c r="N467" s="267">
        <v>0</v>
      </c>
      <c r="O467" s="202"/>
    </row>
    <row r="468" spans="1:15">
      <c r="A468" s="209">
        <v>397</v>
      </c>
      <c r="B468" s="256" t="s">
        <v>550</v>
      </c>
      <c r="C468" s="221">
        <v>26680</v>
      </c>
      <c r="D468" s="221">
        <v>0</v>
      </c>
      <c r="E468" s="231">
        <v>0</v>
      </c>
      <c r="F468" s="221">
        <v>0</v>
      </c>
      <c r="G468" s="221">
        <v>0</v>
      </c>
      <c r="H468" s="221">
        <v>0</v>
      </c>
      <c r="I468" s="232">
        <v>0</v>
      </c>
      <c r="J468" s="221">
        <v>0</v>
      </c>
      <c r="K468" s="221">
        <v>6.1</v>
      </c>
      <c r="L468" s="221">
        <v>26680</v>
      </c>
      <c r="M468" s="231">
        <v>0</v>
      </c>
      <c r="N468" s="267">
        <v>0</v>
      </c>
      <c r="O468" s="202"/>
    </row>
    <row r="469" spans="1:15">
      <c r="A469" s="209">
        <v>398</v>
      </c>
      <c r="B469" s="256" t="s">
        <v>316</v>
      </c>
      <c r="C469" s="221">
        <v>29690</v>
      </c>
      <c r="D469" s="221">
        <v>0</v>
      </c>
      <c r="E469" s="231">
        <v>0</v>
      </c>
      <c r="F469" s="221">
        <v>0</v>
      </c>
      <c r="G469" s="221">
        <v>0</v>
      </c>
      <c r="H469" s="221">
        <v>0</v>
      </c>
      <c r="I469" s="232">
        <v>0</v>
      </c>
      <c r="J469" s="221">
        <v>0</v>
      </c>
      <c r="K469" s="221">
        <v>6.8</v>
      </c>
      <c r="L469" s="221">
        <v>29690</v>
      </c>
      <c r="M469" s="231">
        <v>0</v>
      </c>
      <c r="N469" s="267">
        <v>0</v>
      </c>
      <c r="O469" s="202"/>
    </row>
    <row r="470" spans="1:15">
      <c r="A470" s="209">
        <v>399</v>
      </c>
      <c r="B470" s="256" t="s">
        <v>545</v>
      </c>
      <c r="C470" s="221">
        <v>17184</v>
      </c>
      <c r="D470" s="221">
        <v>0</v>
      </c>
      <c r="E470" s="231">
        <v>0</v>
      </c>
      <c r="F470" s="221">
        <v>0</v>
      </c>
      <c r="G470" s="221">
        <v>0</v>
      </c>
      <c r="H470" s="221">
        <v>0</v>
      </c>
      <c r="I470" s="232">
        <v>0</v>
      </c>
      <c r="J470" s="221">
        <v>0</v>
      </c>
      <c r="K470" s="221">
        <v>3.5</v>
      </c>
      <c r="L470" s="221">
        <v>17184</v>
      </c>
      <c r="M470" s="231">
        <v>0</v>
      </c>
      <c r="N470" s="267">
        <v>0</v>
      </c>
      <c r="O470" s="202"/>
    </row>
    <row r="471" spans="1:15">
      <c r="A471" s="209">
        <v>400</v>
      </c>
      <c r="B471" s="256" t="s">
        <v>544</v>
      </c>
      <c r="C471" s="221">
        <v>18212</v>
      </c>
      <c r="D471" s="221">
        <v>0</v>
      </c>
      <c r="E471" s="231">
        <v>0</v>
      </c>
      <c r="F471" s="221">
        <v>0</v>
      </c>
      <c r="G471" s="221">
        <v>0</v>
      </c>
      <c r="H471" s="221">
        <v>0</v>
      </c>
      <c r="I471" s="232">
        <v>0</v>
      </c>
      <c r="J471" s="221">
        <v>0</v>
      </c>
      <c r="K471" s="221">
        <v>1.8</v>
      </c>
      <c r="L471" s="221">
        <v>18212</v>
      </c>
      <c r="M471" s="231">
        <v>0</v>
      </c>
      <c r="N471" s="267">
        <v>0</v>
      </c>
      <c r="O471" s="202"/>
    </row>
    <row r="472" spans="1:15">
      <c r="A472" s="209">
        <v>401</v>
      </c>
      <c r="B472" s="256" t="s">
        <v>543</v>
      </c>
      <c r="C472" s="221">
        <v>7950</v>
      </c>
      <c r="D472" s="221">
        <v>0</v>
      </c>
      <c r="E472" s="231">
        <v>0</v>
      </c>
      <c r="F472" s="221">
        <v>0</v>
      </c>
      <c r="G472" s="221">
        <v>0</v>
      </c>
      <c r="H472" s="221">
        <v>0</v>
      </c>
      <c r="I472" s="232">
        <v>0</v>
      </c>
      <c r="J472" s="221">
        <v>0</v>
      </c>
      <c r="K472" s="221">
        <v>1.6</v>
      </c>
      <c r="L472" s="221">
        <v>7950</v>
      </c>
      <c r="M472" s="231">
        <v>0</v>
      </c>
      <c r="N472" s="267">
        <v>0</v>
      </c>
      <c r="O472" s="202"/>
    </row>
    <row r="473" spans="1:15">
      <c r="A473" s="209">
        <v>402</v>
      </c>
      <c r="B473" s="256" t="s">
        <v>317</v>
      </c>
      <c r="C473" s="221">
        <v>15000</v>
      </c>
      <c r="D473" s="221">
        <v>0</v>
      </c>
      <c r="E473" s="231">
        <v>0</v>
      </c>
      <c r="F473" s="221">
        <v>0</v>
      </c>
      <c r="G473" s="221">
        <v>0</v>
      </c>
      <c r="H473" s="221">
        <v>0</v>
      </c>
      <c r="I473" s="232">
        <v>0</v>
      </c>
      <c r="J473" s="221">
        <v>0</v>
      </c>
      <c r="K473" s="221">
        <v>5.7</v>
      </c>
      <c r="L473" s="221">
        <v>15000</v>
      </c>
      <c r="M473" s="231">
        <v>0</v>
      </c>
      <c r="N473" s="267">
        <v>0</v>
      </c>
      <c r="O473" s="202"/>
    </row>
    <row r="474" spans="1:15">
      <c r="A474" s="209">
        <v>403</v>
      </c>
      <c r="B474" s="256" t="s">
        <v>309</v>
      </c>
      <c r="C474" s="221">
        <v>91168</v>
      </c>
      <c r="D474" s="221">
        <v>46910</v>
      </c>
      <c r="E474" s="231">
        <v>0</v>
      </c>
      <c r="F474" s="221">
        <v>0</v>
      </c>
      <c r="G474" s="221">
        <v>0</v>
      </c>
      <c r="H474" s="221">
        <v>0</v>
      </c>
      <c r="I474" s="232">
        <v>0</v>
      </c>
      <c r="J474" s="221">
        <v>0</v>
      </c>
      <c r="K474" s="268">
        <v>14.3</v>
      </c>
      <c r="L474" s="221">
        <v>44258</v>
      </c>
      <c r="M474" s="231">
        <v>0</v>
      </c>
      <c r="N474" s="267">
        <v>0</v>
      </c>
      <c r="O474" s="202"/>
    </row>
    <row r="475" spans="1:15">
      <c r="A475" s="209">
        <v>404</v>
      </c>
      <c r="B475" s="256" t="s">
        <v>318</v>
      </c>
      <c r="C475" s="221">
        <v>29990</v>
      </c>
      <c r="D475" s="221">
        <v>0</v>
      </c>
      <c r="E475" s="231">
        <v>0</v>
      </c>
      <c r="F475" s="221">
        <v>0</v>
      </c>
      <c r="G475" s="221">
        <v>0</v>
      </c>
      <c r="H475" s="221">
        <v>0</v>
      </c>
      <c r="I475" s="232">
        <v>0</v>
      </c>
      <c r="J475" s="221">
        <v>0</v>
      </c>
      <c r="K475" s="221">
        <v>5.7</v>
      </c>
      <c r="L475" s="221">
        <v>29990</v>
      </c>
      <c r="M475" s="231">
        <v>0</v>
      </c>
      <c r="N475" s="267">
        <v>0</v>
      </c>
      <c r="O475" s="202"/>
    </row>
    <row r="476" spans="1:15">
      <c r="A476" s="209">
        <v>405</v>
      </c>
      <c r="B476" s="256" t="s">
        <v>319</v>
      </c>
      <c r="C476" s="221">
        <v>14760</v>
      </c>
      <c r="D476" s="221">
        <v>0</v>
      </c>
      <c r="E476" s="231">
        <v>0</v>
      </c>
      <c r="F476" s="221">
        <v>0</v>
      </c>
      <c r="G476" s="221">
        <v>0</v>
      </c>
      <c r="H476" s="221">
        <v>0</v>
      </c>
      <c r="I476" s="232">
        <v>0</v>
      </c>
      <c r="J476" s="221">
        <v>0</v>
      </c>
      <c r="K476" s="221">
        <v>6.6</v>
      </c>
      <c r="L476" s="221">
        <v>14760</v>
      </c>
      <c r="M476" s="231">
        <v>0</v>
      </c>
      <c r="N476" s="267">
        <v>0</v>
      </c>
      <c r="O476" s="202"/>
    </row>
    <row r="477" spans="1:15">
      <c r="A477" s="209">
        <v>406</v>
      </c>
      <c r="B477" s="256" t="s">
        <v>328</v>
      </c>
      <c r="C477" s="221">
        <v>26688</v>
      </c>
      <c r="D477" s="221">
        <v>0</v>
      </c>
      <c r="E477" s="231">
        <v>0</v>
      </c>
      <c r="F477" s="221">
        <v>0</v>
      </c>
      <c r="G477" s="221">
        <v>0</v>
      </c>
      <c r="H477" s="221">
        <v>0</v>
      </c>
      <c r="I477" s="232">
        <v>0</v>
      </c>
      <c r="J477" s="221">
        <v>0</v>
      </c>
      <c r="K477" s="221">
        <v>6.7</v>
      </c>
      <c r="L477" s="221">
        <v>26688</v>
      </c>
      <c r="M477" s="231">
        <v>0</v>
      </c>
      <c r="N477" s="267">
        <v>0</v>
      </c>
      <c r="O477" s="202"/>
    </row>
    <row r="478" spans="1:15">
      <c r="A478" s="209">
        <v>407</v>
      </c>
      <c r="B478" s="256" t="s">
        <v>308</v>
      </c>
      <c r="C478" s="221">
        <v>206769</v>
      </c>
      <c r="D478" s="221">
        <v>162874</v>
      </c>
      <c r="E478" s="231">
        <v>0</v>
      </c>
      <c r="F478" s="221">
        <v>0</v>
      </c>
      <c r="G478" s="221">
        <v>0</v>
      </c>
      <c r="H478" s="221">
        <v>0</v>
      </c>
      <c r="I478" s="232">
        <v>0</v>
      </c>
      <c r="J478" s="221">
        <v>0</v>
      </c>
      <c r="K478" s="268">
        <v>12.1</v>
      </c>
      <c r="L478" s="221">
        <v>43895</v>
      </c>
      <c r="M478" s="231">
        <v>0</v>
      </c>
      <c r="N478" s="267">
        <v>0</v>
      </c>
      <c r="O478" s="202"/>
    </row>
    <row r="479" spans="1:15">
      <c r="A479" s="209">
        <v>408</v>
      </c>
      <c r="B479" s="256" t="s">
        <v>322</v>
      </c>
      <c r="C479" s="221">
        <v>18872</v>
      </c>
      <c r="D479" s="221">
        <v>0</v>
      </c>
      <c r="E479" s="231">
        <v>0</v>
      </c>
      <c r="F479" s="221">
        <v>0</v>
      </c>
      <c r="G479" s="221">
        <v>0</v>
      </c>
      <c r="H479" s="221">
        <v>0</v>
      </c>
      <c r="I479" s="232">
        <v>0</v>
      </c>
      <c r="J479" s="221">
        <v>0</v>
      </c>
      <c r="K479" s="221">
        <v>4.8</v>
      </c>
      <c r="L479" s="221">
        <v>18872</v>
      </c>
      <c r="M479" s="231">
        <v>0</v>
      </c>
      <c r="N479" s="267">
        <v>0</v>
      </c>
      <c r="O479" s="202"/>
    </row>
    <row r="480" spans="1:15">
      <c r="A480" s="209">
        <v>409</v>
      </c>
      <c r="B480" s="256" t="s">
        <v>324</v>
      </c>
      <c r="C480" s="221">
        <v>17216</v>
      </c>
      <c r="D480" s="221">
        <v>0</v>
      </c>
      <c r="E480" s="231">
        <v>0</v>
      </c>
      <c r="F480" s="221">
        <v>0</v>
      </c>
      <c r="G480" s="221">
        <v>0</v>
      </c>
      <c r="H480" s="221">
        <v>0</v>
      </c>
      <c r="I480" s="232">
        <v>0</v>
      </c>
      <c r="J480" s="221">
        <v>0</v>
      </c>
      <c r="K480" s="221">
        <v>4</v>
      </c>
      <c r="L480" s="221">
        <v>17216</v>
      </c>
      <c r="M480" s="231">
        <v>0</v>
      </c>
      <c r="N480" s="267">
        <v>0</v>
      </c>
      <c r="O480" s="202"/>
    </row>
    <row r="481" spans="1:15">
      <c r="A481" s="209">
        <v>410</v>
      </c>
      <c r="B481" s="256" t="s">
        <v>307</v>
      </c>
      <c r="C481" s="221">
        <v>151552</v>
      </c>
      <c r="D481" s="221">
        <v>133615</v>
      </c>
      <c r="E481" s="231">
        <v>0</v>
      </c>
      <c r="F481" s="221">
        <v>0</v>
      </c>
      <c r="G481" s="221">
        <v>0</v>
      </c>
      <c r="H481" s="221">
        <v>0</v>
      </c>
      <c r="I481" s="232">
        <v>0</v>
      </c>
      <c r="J481" s="221">
        <v>0</v>
      </c>
      <c r="K481" s="268">
        <v>4.2</v>
      </c>
      <c r="L481" s="221">
        <v>17937</v>
      </c>
      <c r="M481" s="231">
        <v>0</v>
      </c>
      <c r="N481" s="267">
        <v>0</v>
      </c>
      <c r="O481" s="202"/>
    </row>
    <row r="482" spans="1:15">
      <c r="A482" s="209">
        <v>411</v>
      </c>
      <c r="B482" s="256" t="s">
        <v>541</v>
      </c>
      <c r="C482" s="221">
        <v>160104</v>
      </c>
      <c r="D482" s="221">
        <v>160104</v>
      </c>
      <c r="E482" s="231">
        <v>0</v>
      </c>
      <c r="F482" s="221">
        <v>0</v>
      </c>
      <c r="G482" s="221">
        <v>0</v>
      </c>
      <c r="H482" s="221">
        <v>0</v>
      </c>
      <c r="I482" s="232">
        <v>0</v>
      </c>
      <c r="J482" s="221">
        <v>0</v>
      </c>
      <c r="K482" s="235">
        <v>0</v>
      </c>
      <c r="L482" s="221">
        <v>0</v>
      </c>
      <c r="M482" s="231">
        <v>0</v>
      </c>
      <c r="N482" s="267">
        <v>0</v>
      </c>
      <c r="O482" s="202"/>
    </row>
    <row r="483" spans="1:15">
      <c r="A483" s="209">
        <v>412</v>
      </c>
      <c r="B483" s="256" t="s">
        <v>325</v>
      </c>
      <c r="C483" s="221">
        <v>17598</v>
      </c>
      <c r="D483" s="221">
        <v>0</v>
      </c>
      <c r="E483" s="231">
        <v>0</v>
      </c>
      <c r="F483" s="221">
        <v>0</v>
      </c>
      <c r="G483" s="221">
        <v>0</v>
      </c>
      <c r="H483" s="221">
        <v>0</v>
      </c>
      <c r="I483" s="232">
        <v>0</v>
      </c>
      <c r="J483" s="221">
        <v>0</v>
      </c>
      <c r="K483" s="221">
        <v>4</v>
      </c>
      <c r="L483" s="221">
        <v>17598</v>
      </c>
      <c r="M483" s="231">
        <v>0</v>
      </c>
      <c r="N483" s="267">
        <v>0</v>
      </c>
      <c r="O483" s="202"/>
    </row>
    <row r="484" spans="1:15">
      <c r="A484" s="209">
        <v>413</v>
      </c>
      <c r="B484" s="256" t="s">
        <v>326</v>
      </c>
      <c r="C484" s="221">
        <v>30025</v>
      </c>
      <c r="D484" s="221">
        <v>0</v>
      </c>
      <c r="E484" s="231">
        <v>0</v>
      </c>
      <c r="F484" s="221">
        <v>0</v>
      </c>
      <c r="G484" s="221">
        <v>0</v>
      </c>
      <c r="H484" s="221">
        <v>0</v>
      </c>
      <c r="I484" s="232">
        <v>0</v>
      </c>
      <c r="J484" s="221">
        <v>0</v>
      </c>
      <c r="K484" s="221">
        <v>7</v>
      </c>
      <c r="L484" s="221">
        <v>30025</v>
      </c>
      <c r="M484" s="231">
        <v>0</v>
      </c>
      <c r="N484" s="267">
        <v>0</v>
      </c>
      <c r="O484" s="202"/>
    </row>
    <row r="485" spans="1:15">
      <c r="A485" s="209">
        <v>414</v>
      </c>
      <c r="B485" s="256" t="s">
        <v>114</v>
      </c>
      <c r="C485" s="221">
        <v>26793</v>
      </c>
      <c r="D485" s="221">
        <v>0</v>
      </c>
      <c r="E485" s="231">
        <v>0</v>
      </c>
      <c r="F485" s="221">
        <v>0</v>
      </c>
      <c r="G485" s="221">
        <v>0</v>
      </c>
      <c r="H485" s="221">
        <v>0</v>
      </c>
      <c r="I485" s="232">
        <v>0</v>
      </c>
      <c r="J485" s="221">
        <v>0</v>
      </c>
      <c r="K485" s="221">
        <v>6.2</v>
      </c>
      <c r="L485" s="221">
        <v>26793</v>
      </c>
      <c r="M485" s="231">
        <v>0</v>
      </c>
      <c r="N485" s="267">
        <v>0</v>
      </c>
      <c r="O485" s="202"/>
    </row>
    <row r="486" spans="1:15">
      <c r="A486" s="209">
        <v>415</v>
      </c>
      <c r="B486" s="256" t="s">
        <v>327</v>
      </c>
      <c r="C486" s="221">
        <v>31242</v>
      </c>
      <c r="D486" s="221">
        <v>0</v>
      </c>
      <c r="E486" s="231">
        <v>0</v>
      </c>
      <c r="F486" s="221">
        <v>0</v>
      </c>
      <c r="G486" s="221">
        <v>0</v>
      </c>
      <c r="H486" s="221">
        <v>0</v>
      </c>
      <c r="I486" s="232">
        <v>0</v>
      </c>
      <c r="J486" s="221">
        <v>0</v>
      </c>
      <c r="K486" s="221">
        <v>7.5</v>
      </c>
      <c r="L486" s="221">
        <v>31242</v>
      </c>
      <c r="M486" s="231">
        <v>0</v>
      </c>
      <c r="N486" s="267">
        <v>0</v>
      </c>
      <c r="O486" s="202"/>
    </row>
    <row r="487" spans="1:15">
      <c r="A487" s="209">
        <v>416</v>
      </c>
      <c r="B487" s="256" t="s">
        <v>303</v>
      </c>
      <c r="C487" s="221">
        <v>397518</v>
      </c>
      <c r="D487" s="221">
        <v>0</v>
      </c>
      <c r="E487" s="231">
        <v>0</v>
      </c>
      <c r="F487" s="221">
        <v>0</v>
      </c>
      <c r="G487" s="221">
        <v>398</v>
      </c>
      <c r="H487" s="224">
        <v>379618</v>
      </c>
      <c r="I487" s="226">
        <v>0</v>
      </c>
      <c r="J487" s="221">
        <v>0</v>
      </c>
      <c r="K487" s="268">
        <v>3.5</v>
      </c>
      <c r="L487" s="221">
        <v>17900</v>
      </c>
      <c r="M487" s="231">
        <v>0</v>
      </c>
      <c r="N487" s="221">
        <v>0</v>
      </c>
      <c r="O487" s="202"/>
    </row>
    <row r="488" spans="1:15">
      <c r="A488" s="209">
        <v>417</v>
      </c>
      <c r="B488" s="256" t="s">
        <v>551</v>
      </c>
      <c r="C488" s="221">
        <v>18700</v>
      </c>
      <c r="D488" s="221">
        <v>0</v>
      </c>
      <c r="E488" s="231">
        <v>0</v>
      </c>
      <c r="F488" s="221">
        <v>0</v>
      </c>
      <c r="G488" s="221">
        <v>0</v>
      </c>
      <c r="H488" s="221">
        <v>0</v>
      </c>
      <c r="I488" s="232">
        <v>0</v>
      </c>
      <c r="J488" s="221">
        <v>0</v>
      </c>
      <c r="K488" s="221">
        <v>3.7</v>
      </c>
      <c r="L488" s="221">
        <v>18700</v>
      </c>
      <c r="M488" s="231">
        <v>0</v>
      </c>
      <c r="N488" s="267">
        <v>0</v>
      </c>
      <c r="O488" s="202"/>
    </row>
    <row r="489" spans="1:15">
      <c r="A489" s="209">
        <v>418</v>
      </c>
      <c r="B489" s="256" t="s">
        <v>323</v>
      </c>
      <c r="C489" s="221">
        <v>27896</v>
      </c>
      <c r="D489" s="221">
        <v>0</v>
      </c>
      <c r="E489" s="231">
        <v>0</v>
      </c>
      <c r="F489" s="221">
        <v>0</v>
      </c>
      <c r="G489" s="221">
        <v>0</v>
      </c>
      <c r="H489" s="221">
        <v>0</v>
      </c>
      <c r="I489" s="232">
        <v>0</v>
      </c>
      <c r="J489" s="221">
        <v>0</v>
      </c>
      <c r="K489" s="221">
        <v>5.2</v>
      </c>
      <c r="L489" s="221">
        <v>27896</v>
      </c>
      <c r="M489" s="231">
        <v>0</v>
      </c>
      <c r="N489" s="267">
        <v>0</v>
      </c>
      <c r="O489" s="202"/>
    </row>
    <row r="490" spans="1:15">
      <c r="A490" s="209">
        <v>419</v>
      </c>
      <c r="B490" s="256" t="s">
        <v>304</v>
      </c>
      <c r="C490" s="221">
        <v>696127</v>
      </c>
      <c r="D490" s="221">
        <v>0</v>
      </c>
      <c r="E490" s="231">
        <v>0</v>
      </c>
      <c r="F490" s="221">
        <v>0</v>
      </c>
      <c r="G490" s="221">
        <v>653</v>
      </c>
      <c r="H490" s="224">
        <v>668715</v>
      </c>
      <c r="I490" s="232">
        <v>0</v>
      </c>
      <c r="J490" s="221">
        <v>0</v>
      </c>
      <c r="K490" s="268">
        <v>4.7</v>
      </c>
      <c r="L490" s="221">
        <v>27412</v>
      </c>
      <c r="M490" s="231">
        <v>0</v>
      </c>
      <c r="N490" s="267">
        <v>0</v>
      </c>
      <c r="O490" s="202"/>
    </row>
    <row r="491" spans="1:15">
      <c r="A491" s="209">
        <v>420</v>
      </c>
      <c r="B491" s="256" t="s">
        <v>305</v>
      </c>
      <c r="C491" s="221">
        <v>485092</v>
      </c>
      <c r="D491" s="221">
        <v>0</v>
      </c>
      <c r="E491" s="231">
        <v>0</v>
      </c>
      <c r="F491" s="221">
        <v>0</v>
      </c>
      <c r="G491" s="221">
        <v>438</v>
      </c>
      <c r="H491" s="224">
        <v>464055</v>
      </c>
      <c r="I491" s="232">
        <v>0</v>
      </c>
      <c r="J491" s="221">
        <v>0</v>
      </c>
      <c r="K491" s="268">
        <v>6.5</v>
      </c>
      <c r="L491" s="221">
        <v>21037</v>
      </c>
      <c r="M491" s="231">
        <v>0</v>
      </c>
      <c r="N491" s="267">
        <v>0</v>
      </c>
      <c r="O491" s="202"/>
    </row>
    <row r="492" spans="1:15">
      <c r="A492" s="209">
        <v>421</v>
      </c>
      <c r="B492" s="256" t="s">
        <v>306</v>
      </c>
      <c r="C492" s="221">
        <v>482955</v>
      </c>
      <c r="D492" s="221">
        <v>0</v>
      </c>
      <c r="E492" s="231">
        <v>0</v>
      </c>
      <c r="F492" s="221">
        <v>0</v>
      </c>
      <c r="G492" s="221">
        <v>438</v>
      </c>
      <c r="H492" s="224">
        <v>464055</v>
      </c>
      <c r="I492" s="232">
        <v>0</v>
      </c>
      <c r="J492" s="221">
        <v>0</v>
      </c>
      <c r="K492" s="268">
        <v>3.5</v>
      </c>
      <c r="L492" s="221">
        <v>18900</v>
      </c>
      <c r="M492" s="231">
        <v>0</v>
      </c>
      <c r="N492" s="267">
        <v>0</v>
      </c>
      <c r="O492" s="202"/>
    </row>
    <row r="493" spans="1:15">
      <c r="A493" s="209">
        <v>422</v>
      </c>
      <c r="B493" s="256" t="s">
        <v>337</v>
      </c>
      <c r="C493" s="221">
        <v>19324</v>
      </c>
      <c r="D493" s="221">
        <v>0</v>
      </c>
      <c r="E493" s="231">
        <v>0</v>
      </c>
      <c r="F493" s="221">
        <v>0</v>
      </c>
      <c r="G493" s="221">
        <v>0</v>
      </c>
      <c r="H493" s="221">
        <v>0</v>
      </c>
      <c r="I493" s="232">
        <v>0</v>
      </c>
      <c r="J493" s="221">
        <v>0</v>
      </c>
      <c r="K493" s="221">
        <v>3.8</v>
      </c>
      <c r="L493" s="221">
        <v>19324</v>
      </c>
      <c r="M493" s="231">
        <v>0</v>
      </c>
      <c r="N493" s="267">
        <v>0</v>
      </c>
      <c r="O493" s="202"/>
    </row>
    <row r="494" spans="1:15">
      <c r="A494" s="209">
        <v>423</v>
      </c>
      <c r="B494" s="256" t="s">
        <v>338</v>
      </c>
      <c r="C494" s="221">
        <v>19064</v>
      </c>
      <c r="D494" s="221">
        <v>0</v>
      </c>
      <c r="E494" s="231">
        <v>0</v>
      </c>
      <c r="F494" s="221">
        <v>0</v>
      </c>
      <c r="G494" s="221">
        <v>0</v>
      </c>
      <c r="H494" s="221">
        <v>0</v>
      </c>
      <c r="I494" s="232">
        <v>0</v>
      </c>
      <c r="J494" s="221">
        <v>0</v>
      </c>
      <c r="K494" s="221">
        <v>3.7</v>
      </c>
      <c r="L494" s="221">
        <v>19064</v>
      </c>
      <c r="M494" s="231">
        <v>0</v>
      </c>
      <c r="N494" s="267">
        <v>0</v>
      </c>
      <c r="O494" s="202"/>
    </row>
    <row r="495" spans="1:15">
      <c r="A495" s="209">
        <v>424</v>
      </c>
      <c r="B495" s="256" t="s">
        <v>339</v>
      </c>
      <c r="C495" s="221">
        <v>19170</v>
      </c>
      <c r="D495" s="221">
        <v>0</v>
      </c>
      <c r="E495" s="231">
        <v>0</v>
      </c>
      <c r="F495" s="221">
        <v>0</v>
      </c>
      <c r="G495" s="221">
        <v>0</v>
      </c>
      <c r="H495" s="221">
        <v>0</v>
      </c>
      <c r="I495" s="232">
        <v>0</v>
      </c>
      <c r="J495" s="221">
        <v>0</v>
      </c>
      <c r="K495" s="221">
        <v>3.7</v>
      </c>
      <c r="L495" s="221">
        <v>19170</v>
      </c>
      <c r="M495" s="231">
        <v>0</v>
      </c>
      <c r="N495" s="267">
        <v>0</v>
      </c>
      <c r="O495" s="202"/>
    </row>
    <row r="496" spans="1:15">
      <c r="A496" s="209">
        <v>425</v>
      </c>
      <c r="B496" s="256" t="s">
        <v>340</v>
      </c>
      <c r="C496" s="221">
        <v>19278</v>
      </c>
      <c r="D496" s="221">
        <v>0</v>
      </c>
      <c r="E496" s="231">
        <v>0</v>
      </c>
      <c r="F496" s="221">
        <v>0</v>
      </c>
      <c r="G496" s="221">
        <v>0</v>
      </c>
      <c r="H496" s="221">
        <v>0</v>
      </c>
      <c r="I496" s="232">
        <v>0</v>
      </c>
      <c r="J496" s="221">
        <v>0</v>
      </c>
      <c r="K496" s="221">
        <v>3.7</v>
      </c>
      <c r="L496" s="221">
        <v>19278</v>
      </c>
      <c r="M496" s="231">
        <v>0</v>
      </c>
      <c r="N496" s="267">
        <v>0</v>
      </c>
      <c r="O496" s="202"/>
    </row>
    <row r="497" spans="1:15">
      <c r="A497" s="209">
        <v>426</v>
      </c>
      <c r="B497" s="256" t="s">
        <v>341</v>
      </c>
      <c r="C497" s="221">
        <v>29240</v>
      </c>
      <c r="D497" s="221">
        <v>0</v>
      </c>
      <c r="E497" s="231">
        <v>0</v>
      </c>
      <c r="F497" s="221">
        <v>0</v>
      </c>
      <c r="G497" s="221">
        <v>0</v>
      </c>
      <c r="H497" s="221">
        <v>0</v>
      </c>
      <c r="I497" s="232">
        <v>0</v>
      </c>
      <c r="J497" s="221">
        <v>0</v>
      </c>
      <c r="K497" s="221">
        <v>5.5</v>
      </c>
      <c r="L497" s="221">
        <v>29240</v>
      </c>
      <c r="M497" s="231">
        <v>0</v>
      </c>
      <c r="N497" s="267">
        <v>0</v>
      </c>
      <c r="O497" s="202"/>
    </row>
    <row r="498" spans="1:15">
      <c r="A498" s="209">
        <v>427</v>
      </c>
      <c r="B498" s="256" t="s">
        <v>342</v>
      </c>
      <c r="C498" s="221">
        <v>31210</v>
      </c>
      <c r="D498" s="221">
        <v>0</v>
      </c>
      <c r="E498" s="231">
        <v>0</v>
      </c>
      <c r="F498" s="221">
        <v>0</v>
      </c>
      <c r="G498" s="221">
        <v>0</v>
      </c>
      <c r="H498" s="221">
        <v>0</v>
      </c>
      <c r="I498" s="232">
        <v>0</v>
      </c>
      <c r="J498" s="221">
        <v>0</v>
      </c>
      <c r="K498" s="221">
        <v>5.4</v>
      </c>
      <c r="L498" s="221">
        <v>31210</v>
      </c>
      <c r="M498" s="231">
        <v>0</v>
      </c>
      <c r="N498" s="267">
        <v>0</v>
      </c>
      <c r="O498" s="202"/>
    </row>
    <row r="499" spans="1:15">
      <c r="A499" s="209">
        <v>428</v>
      </c>
      <c r="B499" s="256" t="s">
        <v>343</v>
      </c>
      <c r="C499" s="221">
        <v>114708</v>
      </c>
      <c r="D499" s="221">
        <v>0</v>
      </c>
      <c r="E499" s="231">
        <v>0</v>
      </c>
      <c r="F499" s="221">
        <v>0</v>
      </c>
      <c r="G499" s="221">
        <v>0</v>
      </c>
      <c r="H499" s="221">
        <v>0</v>
      </c>
      <c r="I499" s="232">
        <v>0</v>
      </c>
      <c r="J499" s="221">
        <v>0</v>
      </c>
      <c r="K499" s="221">
        <v>17.3</v>
      </c>
      <c r="L499" s="221">
        <v>114708</v>
      </c>
      <c r="M499" s="231">
        <v>0</v>
      </c>
      <c r="N499" s="267">
        <v>0</v>
      </c>
      <c r="O499" s="202"/>
    </row>
    <row r="500" spans="1:15">
      <c r="A500" s="209">
        <v>429</v>
      </c>
      <c r="B500" s="256" t="s">
        <v>547</v>
      </c>
      <c r="C500" s="221">
        <v>9517</v>
      </c>
      <c r="D500" s="221">
        <v>0</v>
      </c>
      <c r="E500" s="231">
        <v>0</v>
      </c>
      <c r="F500" s="221">
        <v>0</v>
      </c>
      <c r="G500" s="221">
        <v>0</v>
      </c>
      <c r="H500" s="221">
        <v>0</v>
      </c>
      <c r="I500" s="232">
        <v>0</v>
      </c>
      <c r="J500" s="221">
        <v>0</v>
      </c>
      <c r="K500" s="268">
        <v>2</v>
      </c>
      <c r="L500" s="221">
        <v>9517</v>
      </c>
      <c r="M500" s="231">
        <v>0</v>
      </c>
      <c r="N500" s="267">
        <v>0</v>
      </c>
      <c r="O500" s="202"/>
    </row>
    <row r="501" spans="1:15" ht="30">
      <c r="A501" s="209"/>
      <c r="B501" s="256" t="s">
        <v>658</v>
      </c>
      <c r="C501" s="221">
        <v>1436824</v>
      </c>
      <c r="D501" s="221">
        <v>104000</v>
      </c>
      <c r="E501" s="231">
        <v>0</v>
      </c>
      <c r="F501" s="221">
        <v>0</v>
      </c>
      <c r="G501" s="221">
        <v>856</v>
      </c>
      <c r="H501" s="221">
        <v>951426</v>
      </c>
      <c r="I501" s="232">
        <v>0</v>
      </c>
      <c r="J501" s="221">
        <v>0</v>
      </c>
      <c r="K501" s="232">
        <v>0</v>
      </c>
      <c r="L501" s="221">
        <v>0</v>
      </c>
      <c r="M501" s="267">
        <v>212</v>
      </c>
      <c r="N501" s="221">
        <v>381398</v>
      </c>
      <c r="O501" s="202"/>
    </row>
    <row r="502" spans="1:15">
      <c r="A502" s="209">
        <v>430</v>
      </c>
      <c r="B502" s="256" t="s">
        <v>93</v>
      </c>
      <c r="C502" s="221">
        <v>475713</v>
      </c>
      <c r="D502" s="221">
        <v>0</v>
      </c>
      <c r="E502" s="231">
        <v>0</v>
      </c>
      <c r="F502" s="221">
        <v>0</v>
      </c>
      <c r="G502" s="221">
        <v>428</v>
      </c>
      <c r="H502" s="221">
        <v>475713</v>
      </c>
      <c r="I502" s="232">
        <v>0</v>
      </c>
      <c r="J502" s="221">
        <v>0</v>
      </c>
      <c r="K502" s="232">
        <v>0</v>
      </c>
      <c r="L502" s="221">
        <v>0</v>
      </c>
      <c r="M502" s="231">
        <v>0</v>
      </c>
      <c r="N502" s="221">
        <v>0</v>
      </c>
      <c r="O502" s="202"/>
    </row>
    <row r="503" spans="1:15">
      <c r="A503" s="209">
        <v>431</v>
      </c>
      <c r="B503" s="256" t="s">
        <v>94</v>
      </c>
      <c r="C503" s="221">
        <v>475713</v>
      </c>
      <c r="D503" s="221">
        <v>0</v>
      </c>
      <c r="E503" s="231">
        <v>0</v>
      </c>
      <c r="F503" s="221">
        <v>0</v>
      </c>
      <c r="G503" s="221">
        <v>428</v>
      </c>
      <c r="H503" s="221">
        <v>475713</v>
      </c>
      <c r="I503" s="232">
        <v>0</v>
      </c>
      <c r="J503" s="221">
        <v>0</v>
      </c>
      <c r="K503" s="232">
        <v>0</v>
      </c>
      <c r="L503" s="221">
        <v>0</v>
      </c>
      <c r="M503" s="269">
        <v>0</v>
      </c>
      <c r="N503" s="221">
        <v>0</v>
      </c>
      <c r="O503" s="202"/>
    </row>
    <row r="504" spans="1:15">
      <c r="A504" s="209">
        <v>432</v>
      </c>
      <c r="B504" s="256" t="s">
        <v>95</v>
      </c>
      <c r="C504" s="221">
        <v>190699</v>
      </c>
      <c r="D504" s="221">
        <v>0</v>
      </c>
      <c r="E504" s="231">
        <v>0</v>
      </c>
      <c r="F504" s="221">
        <v>0</v>
      </c>
      <c r="G504" s="221">
        <v>0</v>
      </c>
      <c r="H504" s="221">
        <v>0</v>
      </c>
      <c r="I504" s="232">
        <v>0</v>
      </c>
      <c r="J504" s="221">
        <v>0</v>
      </c>
      <c r="K504" s="232">
        <v>0</v>
      </c>
      <c r="L504" s="221">
        <v>0</v>
      </c>
      <c r="M504" s="270">
        <v>106</v>
      </c>
      <c r="N504" s="221">
        <v>190699</v>
      </c>
      <c r="O504" s="202"/>
    </row>
    <row r="505" spans="1:15">
      <c r="A505" s="209">
        <v>433</v>
      </c>
      <c r="B505" s="256" t="s">
        <v>96</v>
      </c>
      <c r="C505" s="221">
        <v>190699</v>
      </c>
      <c r="D505" s="221">
        <v>0</v>
      </c>
      <c r="E505" s="231">
        <v>0</v>
      </c>
      <c r="F505" s="221">
        <v>0</v>
      </c>
      <c r="G505" s="221">
        <v>0</v>
      </c>
      <c r="H505" s="221">
        <v>0</v>
      </c>
      <c r="I505" s="232">
        <v>0</v>
      </c>
      <c r="J505" s="221">
        <v>0</v>
      </c>
      <c r="K505" s="232">
        <v>0</v>
      </c>
      <c r="L505" s="221">
        <v>0</v>
      </c>
      <c r="M505" s="267">
        <v>106</v>
      </c>
      <c r="N505" s="221">
        <v>190699</v>
      </c>
      <c r="O505" s="202"/>
    </row>
    <row r="506" spans="1:15">
      <c r="A506" s="209">
        <v>434</v>
      </c>
      <c r="B506" s="256" t="s">
        <v>97</v>
      </c>
      <c r="C506" s="221">
        <v>104000</v>
      </c>
      <c r="D506" s="221">
        <v>104000</v>
      </c>
      <c r="E506" s="231">
        <v>0</v>
      </c>
      <c r="F506" s="221">
        <v>0</v>
      </c>
      <c r="G506" s="221">
        <v>0</v>
      </c>
      <c r="H506" s="221">
        <v>0</v>
      </c>
      <c r="I506" s="232">
        <v>0</v>
      </c>
      <c r="J506" s="221">
        <v>0</v>
      </c>
      <c r="K506" s="232">
        <v>0</v>
      </c>
      <c r="L506" s="221">
        <v>0</v>
      </c>
      <c r="M506" s="231">
        <v>0</v>
      </c>
      <c r="N506" s="221">
        <v>0</v>
      </c>
      <c r="O506" s="202"/>
    </row>
    <row r="507" spans="1:15">
      <c r="A507" s="209"/>
      <c r="B507" s="233" t="s">
        <v>65</v>
      </c>
      <c r="C507" s="224">
        <v>9462538</v>
      </c>
      <c r="D507" s="224">
        <v>0</v>
      </c>
      <c r="E507" s="225">
        <v>0</v>
      </c>
      <c r="F507" s="224">
        <v>0</v>
      </c>
      <c r="G507" s="224">
        <v>1596</v>
      </c>
      <c r="H507" s="224">
        <v>3173810</v>
      </c>
      <c r="I507" s="226">
        <v>0</v>
      </c>
      <c r="J507" s="224">
        <v>0</v>
      </c>
      <c r="K507" s="224">
        <v>4347</v>
      </c>
      <c r="L507" s="224">
        <v>6288728</v>
      </c>
      <c r="M507" s="225">
        <v>0</v>
      </c>
      <c r="N507" s="224">
        <v>0</v>
      </c>
      <c r="O507" s="202"/>
    </row>
    <row r="508" spans="1:15" ht="30">
      <c r="A508" s="209"/>
      <c r="B508" s="227" t="s">
        <v>646</v>
      </c>
      <c r="C508" s="224">
        <v>9462538</v>
      </c>
      <c r="D508" s="224">
        <v>0</v>
      </c>
      <c r="E508" s="225">
        <v>0</v>
      </c>
      <c r="F508" s="224">
        <v>0</v>
      </c>
      <c r="G508" s="224">
        <v>1596</v>
      </c>
      <c r="H508" s="224">
        <v>3173810</v>
      </c>
      <c r="I508" s="226">
        <v>0</v>
      </c>
      <c r="J508" s="224">
        <v>0</v>
      </c>
      <c r="K508" s="224">
        <v>4347</v>
      </c>
      <c r="L508" s="224">
        <v>6288728</v>
      </c>
      <c r="M508" s="225">
        <v>0</v>
      </c>
      <c r="N508" s="224">
        <v>0</v>
      </c>
      <c r="O508" s="202"/>
    </row>
    <row r="509" spans="1:15" s="27" customFormat="1">
      <c r="A509" s="209">
        <v>435</v>
      </c>
      <c r="B509" s="217" t="s">
        <v>104</v>
      </c>
      <c r="C509" s="251">
        <v>3626543</v>
      </c>
      <c r="D509" s="224">
        <v>0</v>
      </c>
      <c r="E509" s="225">
        <v>0</v>
      </c>
      <c r="F509" s="224">
        <v>0</v>
      </c>
      <c r="G509" s="224">
        <v>0</v>
      </c>
      <c r="H509" s="224">
        <v>0</v>
      </c>
      <c r="I509" s="226">
        <v>0</v>
      </c>
      <c r="J509" s="224">
        <v>0</v>
      </c>
      <c r="K509" s="251">
        <v>2511</v>
      </c>
      <c r="L509" s="251">
        <v>3626543</v>
      </c>
      <c r="M509" s="225">
        <v>0</v>
      </c>
      <c r="N509" s="224">
        <v>0</v>
      </c>
      <c r="O509" s="202"/>
    </row>
    <row r="510" spans="1:15" s="27" customFormat="1">
      <c r="A510" s="209">
        <v>436</v>
      </c>
      <c r="B510" s="217" t="s">
        <v>103</v>
      </c>
      <c r="C510" s="251">
        <v>2160246</v>
      </c>
      <c r="D510" s="224">
        <v>0</v>
      </c>
      <c r="E510" s="225">
        <v>0</v>
      </c>
      <c r="F510" s="224">
        <v>0</v>
      </c>
      <c r="G510" s="251">
        <v>1092</v>
      </c>
      <c r="H510" s="251">
        <v>2160246</v>
      </c>
      <c r="I510" s="226">
        <v>0</v>
      </c>
      <c r="J510" s="224">
        <v>0</v>
      </c>
      <c r="K510" s="226">
        <v>0</v>
      </c>
      <c r="L510" s="224">
        <v>0</v>
      </c>
      <c r="M510" s="225">
        <v>0</v>
      </c>
      <c r="N510" s="224">
        <v>0</v>
      </c>
      <c r="O510" s="202"/>
    </row>
    <row r="511" spans="1:15" s="27" customFormat="1">
      <c r="A511" s="209">
        <v>437</v>
      </c>
      <c r="B511" s="217" t="s">
        <v>105</v>
      </c>
      <c r="C511" s="251">
        <v>1013564</v>
      </c>
      <c r="D511" s="224">
        <v>0</v>
      </c>
      <c r="E511" s="225">
        <v>0</v>
      </c>
      <c r="F511" s="224">
        <v>0</v>
      </c>
      <c r="G511" s="251">
        <v>504</v>
      </c>
      <c r="H511" s="251">
        <v>1013564</v>
      </c>
      <c r="I511" s="226">
        <v>0</v>
      </c>
      <c r="J511" s="224">
        <v>0</v>
      </c>
      <c r="K511" s="226">
        <v>0</v>
      </c>
      <c r="L511" s="224">
        <v>0</v>
      </c>
      <c r="M511" s="225">
        <v>0</v>
      </c>
      <c r="N511" s="224">
        <v>0</v>
      </c>
      <c r="O511" s="202"/>
    </row>
    <row r="512" spans="1:15" s="27" customFormat="1">
      <c r="A512" s="209">
        <v>438</v>
      </c>
      <c r="B512" s="217" t="s">
        <v>513</v>
      </c>
      <c r="C512" s="251">
        <v>2662185</v>
      </c>
      <c r="D512" s="224">
        <v>0</v>
      </c>
      <c r="E512" s="225">
        <v>0</v>
      </c>
      <c r="F512" s="224">
        <v>0</v>
      </c>
      <c r="G512" s="224">
        <v>0</v>
      </c>
      <c r="H512" s="224">
        <v>0</v>
      </c>
      <c r="I512" s="226">
        <v>0</v>
      </c>
      <c r="J512" s="224">
        <v>0</v>
      </c>
      <c r="K512" s="251">
        <v>1836</v>
      </c>
      <c r="L512" s="251">
        <v>2662185</v>
      </c>
      <c r="M512" s="225">
        <v>0</v>
      </c>
      <c r="N512" s="224">
        <v>0</v>
      </c>
      <c r="O512" s="202"/>
    </row>
    <row r="513" spans="1:15" s="27" customFormat="1">
      <c r="A513" s="209"/>
      <c r="B513" s="217" t="s">
        <v>130</v>
      </c>
      <c r="C513" s="251">
        <v>562350</v>
      </c>
      <c r="D513" s="251">
        <v>0</v>
      </c>
      <c r="E513" s="271">
        <v>0</v>
      </c>
      <c r="F513" s="251">
        <v>0</v>
      </c>
      <c r="G513" s="251">
        <v>275</v>
      </c>
      <c r="H513" s="251">
        <v>562350</v>
      </c>
      <c r="I513" s="249">
        <v>0</v>
      </c>
      <c r="J513" s="251">
        <v>0</v>
      </c>
      <c r="K513" s="249">
        <v>0</v>
      </c>
      <c r="L513" s="251">
        <v>0</v>
      </c>
      <c r="M513" s="249">
        <v>0</v>
      </c>
      <c r="N513" s="251">
        <v>0</v>
      </c>
      <c r="O513" s="202"/>
    </row>
    <row r="514" spans="1:15" s="27" customFormat="1" ht="30">
      <c r="A514" s="209"/>
      <c r="B514" s="227" t="s">
        <v>647</v>
      </c>
      <c r="C514" s="251">
        <v>562350</v>
      </c>
      <c r="D514" s="251">
        <v>0</v>
      </c>
      <c r="E514" s="271">
        <v>0</v>
      </c>
      <c r="F514" s="251">
        <v>0</v>
      </c>
      <c r="G514" s="251">
        <v>275</v>
      </c>
      <c r="H514" s="251">
        <v>562350</v>
      </c>
      <c r="I514" s="249">
        <v>0</v>
      </c>
      <c r="J514" s="251">
        <v>0</v>
      </c>
      <c r="K514" s="249">
        <v>0</v>
      </c>
      <c r="L514" s="251">
        <v>0</v>
      </c>
      <c r="M514" s="249">
        <v>0</v>
      </c>
      <c r="N514" s="251">
        <v>0</v>
      </c>
      <c r="O514" s="202"/>
    </row>
    <row r="515" spans="1:15" s="27" customFormat="1">
      <c r="A515" s="209">
        <v>439</v>
      </c>
      <c r="B515" s="217" t="s">
        <v>514</v>
      </c>
      <c r="C515" s="251">
        <v>562350</v>
      </c>
      <c r="D515" s="224">
        <v>0</v>
      </c>
      <c r="E515" s="225">
        <v>0</v>
      </c>
      <c r="F515" s="224">
        <v>0</v>
      </c>
      <c r="G515" s="224">
        <v>275</v>
      </c>
      <c r="H515" s="224">
        <v>562350</v>
      </c>
      <c r="I515" s="226">
        <v>0</v>
      </c>
      <c r="J515" s="224">
        <v>0</v>
      </c>
      <c r="K515" s="249">
        <v>0</v>
      </c>
      <c r="L515" s="251">
        <v>0</v>
      </c>
      <c r="M515" s="225">
        <v>0</v>
      </c>
      <c r="N515" s="224">
        <v>0</v>
      </c>
      <c r="O515" s="202"/>
    </row>
    <row r="516" spans="1:15">
      <c r="A516" s="209"/>
      <c r="B516" s="233" t="s">
        <v>66</v>
      </c>
      <c r="C516" s="224">
        <v>1267050</v>
      </c>
      <c r="D516" s="224">
        <v>0</v>
      </c>
      <c r="E516" s="225">
        <v>0</v>
      </c>
      <c r="F516" s="224">
        <v>0</v>
      </c>
      <c r="G516" s="224">
        <v>643</v>
      </c>
      <c r="H516" s="224">
        <v>1267050</v>
      </c>
      <c r="I516" s="226">
        <v>0</v>
      </c>
      <c r="J516" s="224">
        <v>0</v>
      </c>
      <c r="K516" s="226">
        <v>0</v>
      </c>
      <c r="L516" s="224">
        <v>0</v>
      </c>
      <c r="M516" s="225">
        <v>0</v>
      </c>
      <c r="N516" s="224">
        <v>0</v>
      </c>
      <c r="O516" s="202"/>
    </row>
    <row r="517" spans="1:15" ht="30">
      <c r="A517" s="209"/>
      <c r="B517" s="227" t="s">
        <v>648</v>
      </c>
      <c r="C517" s="224">
        <v>1267050</v>
      </c>
      <c r="D517" s="224">
        <v>0</v>
      </c>
      <c r="E517" s="225">
        <v>0</v>
      </c>
      <c r="F517" s="224">
        <v>0</v>
      </c>
      <c r="G517" s="224">
        <v>643</v>
      </c>
      <c r="H517" s="224">
        <v>1267050</v>
      </c>
      <c r="I517" s="226">
        <v>0</v>
      </c>
      <c r="J517" s="224">
        <v>0</v>
      </c>
      <c r="K517" s="226">
        <v>0</v>
      </c>
      <c r="L517" s="224">
        <v>0</v>
      </c>
      <c r="M517" s="225">
        <v>0</v>
      </c>
      <c r="N517" s="224">
        <v>0</v>
      </c>
      <c r="O517" s="202"/>
    </row>
    <row r="518" spans="1:15">
      <c r="A518" s="209">
        <v>440</v>
      </c>
      <c r="B518" s="227" t="s">
        <v>515</v>
      </c>
      <c r="C518" s="224">
        <v>1267050</v>
      </c>
      <c r="D518" s="224">
        <v>0</v>
      </c>
      <c r="E518" s="225">
        <v>0</v>
      </c>
      <c r="F518" s="224">
        <v>0</v>
      </c>
      <c r="G518" s="224">
        <v>643</v>
      </c>
      <c r="H518" s="224">
        <v>1267050</v>
      </c>
      <c r="I518" s="226">
        <v>0</v>
      </c>
      <c r="J518" s="224">
        <v>0</v>
      </c>
      <c r="K518" s="226">
        <v>0</v>
      </c>
      <c r="L518" s="224">
        <v>0</v>
      </c>
      <c r="M518" s="225">
        <v>0</v>
      </c>
      <c r="N518" s="224">
        <v>0</v>
      </c>
      <c r="O518" s="202"/>
    </row>
    <row r="519" spans="1:15">
      <c r="A519" s="209"/>
      <c r="B519" s="233" t="s">
        <v>67</v>
      </c>
      <c r="C519" s="224">
        <v>974618</v>
      </c>
      <c r="D519" s="224">
        <v>0</v>
      </c>
      <c r="E519" s="225">
        <v>0</v>
      </c>
      <c r="F519" s="224">
        <v>0</v>
      </c>
      <c r="G519" s="224">
        <v>484</v>
      </c>
      <c r="H519" s="224">
        <v>974618</v>
      </c>
      <c r="I519" s="226">
        <v>0</v>
      </c>
      <c r="J519" s="224">
        <v>0</v>
      </c>
      <c r="K519" s="226">
        <v>0</v>
      </c>
      <c r="L519" s="224">
        <v>0</v>
      </c>
      <c r="M519" s="225">
        <v>0</v>
      </c>
      <c r="N519" s="224">
        <v>0</v>
      </c>
      <c r="O519" s="202"/>
    </row>
    <row r="520" spans="1:15" ht="30">
      <c r="A520" s="209"/>
      <c r="B520" s="256" t="s">
        <v>649</v>
      </c>
      <c r="C520" s="224">
        <v>974618</v>
      </c>
      <c r="D520" s="224">
        <v>0</v>
      </c>
      <c r="E520" s="225">
        <v>0</v>
      </c>
      <c r="F520" s="224">
        <v>0</v>
      </c>
      <c r="G520" s="224">
        <v>484</v>
      </c>
      <c r="H520" s="224">
        <v>974618</v>
      </c>
      <c r="I520" s="226">
        <v>0</v>
      </c>
      <c r="J520" s="224">
        <v>0</v>
      </c>
      <c r="K520" s="226">
        <v>0</v>
      </c>
      <c r="L520" s="224">
        <v>0</v>
      </c>
      <c r="M520" s="225">
        <v>0</v>
      </c>
      <c r="N520" s="224">
        <v>0</v>
      </c>
      <c r="O520" s="202"/>
    </row>
    <row r="521" spans="1:15">
      <c r="A521" s="209">
        <v>441</v>
      </c>
      <c r="B521" s="227" t="s">
        <v>566</v>
      </c>
      <c r="C521" s="224">
        <v>974618</v>
      </c>
      <c r="D521" s="224">
        <v>0</v>
      </c>
      <c r="E521" s="225">
        <v>0</v>
      </c>
      <c r="F521" s="224">
        <v>0</v>
      </c>
      <c r="G521" s="224">
        <v>484</v>
      </c>
      <c r="H521" s="224">
        <v>974618</v>
      </c>
      <c r="I521" s="226">
        <v>0</v>
      </c>
      <c r="J521" s="224">
        <v>0</v>
      </c>
      <c r="K521" s="226">
        <v>0</v>
      </c>
      <c r="L521" s="224">
        <v>0</v>
      </c>
      <c r="M521" s="225">
        <v>0</v>
      </c>
      <c r="N521" s="224">
        <v>0</v>
      </c>
      <c r="O521" s="202"/>
    </row>
    <row r="522" spans="1:15">
      <c r="A522" s="209"/>
      <c r="B522" s="233" t="s">
        <v>68</v>
      </c>
      <c r="C522" s="224">
        <v>3327623.09</v>
      </c>
      <c r="D522" s="224">
        <v>913637.09</v>
      </c>
      <c r="E522" s="225">
        <v>0</v>
      </c>
      <c r="F522" s="224">
        <v>0</v>
      </c>
      <c r="G522" s="224">
        <v>1223</v>
      </c>
      <c r="H522" s="224">
        <v>2413986</v>
      </c>
      <c r="I522" s="226">
        <v>0</v>
      </c>
      <c r="J522" s="224">
        <v>0</v>
      </c>
      <c r="K522" s="226">
        <v>0</v>
      </c>
      <c r="L522" s="224">
        <v>0</v>
      </c>
      <c r="M522" s="225">
        <v>0</v>
      </c>
      <c r="N522" s="224">
        <v>0</v>
      </c>
      <c r="O522" s="202"/>
    </row>
    <row r="523" spans="1:15" ht="30">
      <c r="A523" s="209"/>
      <c r="B523" s="227" t="s">
        <v>650</v>
      </c>
      <c r="C523" s="224">
        <v>3327623.09</v>
      </c>
      <c r="D523" s="224">
        <v>913637.09</v>
      </c>
      <c r="E523" s="225">
        <v>0</v>
      </c>
      <c r="F523" s="224">
        <v>0</v>
      </c>
      <c r="G523" s="224">
        <v>1223</v>
      </c>
      <c r="H523" s="224">
        <v>2413986</v>
      </c>
      <c r="I523" s="226">
        <v>0</v>
      </c>
      <c r="J523" s="224">
        <v>0</v>
      </c>
      <c r="K523" s="226">
        <v>0</v>
      </c>
      <c r="L523" s="224">
        <v>0</v>
      </c>
      <c r="M523" s="225">
        <v>0</v>
      </c>
      <c r="N523" s="224">
        <v>0</v>
      </c>
      <c r="O523" s="202"/>
    </row>
    <row r="524" spans="1:15">
      <c r="A524" s="209">
        <v>442</v>
      </c>
      <c r="B524" s="227" t="s">
        <v>517</v>
      </c>
      <c r="C524" s="224">
        <v>913637.09</v>
      </c>
      <c r="D524" s="224">
        <v>913637.09</v>
      </c>
      <c r="E524" s="225">
        <v>0</v>
      </c>
      <c r="F524" s="224">
        <v>0</v>
      </c>
      <c r="G524" s="224">
        <v>0</v>
      </c>
      <c r="H524" s="224">
        <v>0</v>
      </c>
      <c r="I524" s="226">
        <v>0</v>
      </c>
      <c r="J524" s="224">
        <v>0</v>
      </c>
      <c r="K524" s="226">
        <v>0</v>
      </c>
      <c r="L524" s="224">
        <v>0</v>
      </c>
      <c r="M524" s="225">
        <v>0</v>
      </c>
      <c r="N524" s="224">
        <v>0</v>
      </c>
      <c r="O524" s="202"/>
    </row>
    <row r="525" spans="1:15">
      <c r="A525" s="209">
        <v>443</v>
      </c>
      <c r="B525" s="227" t="s">
        <v>516</v>
      </c>
      <c r="C525" s="224">
        <v>2413986</v>
      </c>
      <c r="D525" s="224">
        <v>0</v>
      </c>
      <c r="E525" s="225">
        <v>0</v>
      </c>
      <c r="F525" s="224">
        <v>0</v>
      </c>
      <c r="G525" s="207">
        <v>1223</v>
      </c>
      <c r="H525" s="224">
        <v>2413986</v>
      </c>
      <c r="I525" s="226">
        <v>0</v>
      </c>
      <c r="J525" s="224">
        <v>0</v>
      </c>
      <c r="K525" s="226">
        <v>0</v>
      </c>
      <c r="L525" s="224">
        <v>0</v>
      </c>
      <c r="M525" s="225">
        <v>0</v>
      </c>
      <c r="N525" s="224">
        <v>0</v>
      </c>
      <c r="O525" s="202"/>
    </row>
    <row r="526" spans="1:15">
      <c r="A526" s="209"/>
      <c r="B526" s="233" t="s">
        <v>69</v>
      </c>
      <c r="C526" s="224">
        <v>6928539</v>
      </c>
      <c r="D526" s="224">
        <v>0</v>
      </c>
      <c r="E526" s="225">
        <v>0</v>
      </c>
      <c r="F526" s="224">
        <v>0</v>
      </c>
      <c r="G526" s="224">
        <v>3103</v>
      </c>
      <c r="H526" s="224">
        <v>6183896</v>
      </c>
      <c r="I526" s="226">
        <v>0</v>
      </c>
      <c r="J526" s="224">
        <v>0</v>
      </c>
      <c r="K526" s="224">
        <v>512.4</v>
      </c>
      <c r="L526" s="224">
        <v>744643</v>
      </c>
      <c r="M526" s="225">
        <v>0</v>
      </c>
      <c r="N526" s="224">
        <v>0</v>
      </c>
      <c r="O526" s="202"/>
    </row>
    <row r="527" spans="1:15" ht="30">
      <c r="A527" s="209"/>
      <c r="B527" s="227" t="s">
        <v>651</v>
      </c>
      <c r="C527" s="224">
        <v>6928539</v>
      </c>
      <c r="D527" s="224">
        <v>0</v>
      </c>
      <c r="E527" s="225">
        <v>0</v>
      </c>
      <c r="F527" s="224">
        <v>0</v>
      </c>
      <c r="G527" s="224">
        <v>3103</v>
      </c>
      <c r="H527" s="224">
        <v>6183896</v>
      </c>
      <c r="I527" s="226">
        <v>0</v>
      </c>
      <c r="J527" s="224">
        <v>0</v>
      </c>
      <c r="K527" s="224">
        <v>512.4</v>
      </c>
      <c r="L527" s="224">
        <v>744643</v>
      </c>
      <c r="M527" s="225">
        <v>0</v>
      </c>
      <c r="N527" s="224">
        <v>0</v>
      </c>
      <c r="O527" s="202"/>
    </row>
    <row r="528" spans="1:15" ht="30">
      <c r="A528" s="209">
        <v>444</v>
      </c>
      <c r="B528" s="227" t="s">
        <v>520</v>
      </c>
      <c r="C528" s="224">
        <v>1519076</v>
      </c>
      <c r="D528" s="224">
        <v>0</v>
      </c>
      <c r="E528" s="225">
        <v>0</v>
      </c>
      <c r="F528" s="224">
        <v>0</v>
      </c>
      <c r="G528" s="224">
        <v>764</v>
      </c>
      <c r="H528" s="224">
        <v>1519076</v>
      </c>
      <c r="I528" s="226">
        <v>0</v>
      </c>
      <c r="J528" s="224">
        <v>0</v>
      </c>
      <c r="K528" s="226">
        <v>0</v>
      </c>
      <c r="L528" s="224">
        <v>0</v>
      </c>
      <c r="M528" s="225">
        <v>0</v>
      </c>
      <c r="N528" s="224">
        <v>0</v>
      </c>
      <c r="O528" s="202"/>
    </row>
    <row r="529" spans="1:15">
      <c r="A529" s="209">
        <v>445</v>
      </c>
      <c r="B529" s="227" t="s">
        <v>521</v>
      </c>
      <c r="C529" s="224">
        <v>2684822</v>
      </c>
      <c r="D529" s="224">
        <v>0</v>
      </c>
      <c r="E529" s="225">
        <v>0</v>
      </c>
      <c r="F529" s="224">
        <v>0</v>
      </c>
      <c r="G529" s="224">
        <v>1352</v>
      </c>
      <c r="H529" s="224">
        <v>2684822</v>
      </c>
      <c r="I529" s="226">
        <v>0</v>
      </c>
      <c r="J529" s="224">
        <v>0</v>
      </c>
      <c r="K529" s="226">
        <v>0</v>
      </c>
      <c r="L529" s="224">
        <v>0</v>
      </c>
      <c r="M529" s="225">
        <v>0</v>
      </c>
      <c r="N529" s="224">
        <v>0</v>
      </c>
      <c r="O529" s="202"/>
    </row>
    <row r="530" spans="1:15">
      <c r="A530" s="209">
        <v>446</v>
      </c>
      <c r="B530" s="227" t="s">
        <v>518</v>
      </c>
      <c r="C530" s="224">
        <v>1565357</v>
      </c>
      <c r="D530" s="224">
        <v>0</v>
      </c>
      <c r="E530" s="225">
        <v>0</v>
      </c>
      <c r="F530" s="224">
        <v>0</v>
      </c>
      <c r="G530" s="224">
        <v>407</v>
      </c>
      <c r="H530" s="224">
        <v>820714</v>
      </c>
      <c r="I530" s="226">
        <v>0</v>
      </c>
      <c r="J530" s="224">
        <v>0</v>
      </c>
      <c r="K530" s="224">
        <v>512.4</v>
      </c>
      <c r="L530" s="224">
        <v>744643</v>
      </c>
      <c r="M530" s="225">
        <v>0</v>
      </c>
      <c r="N530" s="224">
        <v>0</v>
      </c>
      <c r="O530" s="202"/>
    </row>
    <row r="531" spans="1:15">
      <c r="A531" s="209">
        <v>447</v>
      </c>
      <c r="B531" s="227" t="s">
        <v>519</v>
      </c>
      <c r="C531" s="224">
        <v>1159284</v>
      </c>
      <c r="D531" s="224">
        <v>0</v>
      </c>
      <c r="E531" s="225">
        <v>0</v>
      </c>
      <c r="F531" s="224">
        <v>0</v>
      </c>
      <c r="G531" s="224">
        <v>580</v>
      </c>
      <c r="H531" s="224">
        <v>1159284</v>
      </c>
      <c r="I531" s="226">
        <v>0</v>
      </c>
      <c r="J531" s="224">
        <v>0</v>
      </c>
      <c r="K531" s="226">
        <v>0</v>
      </c>
      <c r="L531" s="224">
        <v>0</v>
      </c>
      <c r="M531" s="225">
        <v>0</v>
      </c>
      <c r="N531" s="224">
        <v>0</v>
      </c>
      <c r="O531" s="202"/>
    </row>
    <row r="532" spans="1:15">
      <c r="A532" s="209"/>
      <c r="B532" s="233" t="s">
        <v>131</v>
      </c>
      <c r="C532" s="224">
        <v>1917402</v>
      </c>
      <c r="D532" s="224">
        <v>0</v>
      </c>
      <c r="E532" s="225">
        <v>0</v>
      </c>
      <c r="F532" s="224">
        <v>0</v>
      </c>
      <c r="G532" s="224">
        <v>963</v>
      </c>
      <c r="H532" s="261">
        <v>1917402</v>
      </c>
      <c r="I532" s="226">
        <v>0</v>
      </c>
      <c r="J532" s="224">
        <v>0</v>
      </c>
      <c r="K532" s="226">
        <v>0</v>
      </c>
      <c r="L532" s="224">
        <v>0</v>
      </c>
      <c r="M532" s="225">
        <v>0</v>
      </c>
      <c r="N532" s="224">
        <v>0</v>
      </c>
      <c r="O532" s="202"/>
    </row>
    <row r="533" spans="1:15" ht="30">
      <c r="A533" s="209"/>
      <c r="B533" s="227" t="s">
        <v>652</v>
      </c>
      <c r="C533" s="224">
        <v>698989</v>
      </c>
      <c r="D533" s="224">
        <v>0</v>
      </c>
      <c r="E533" s="226">
        <v>0</v>
      </c>
      <c r="F533" s="224">
        <v>0</v>
      </c>
      <c r="G533" s="224">
        <v>345</v>
      </c>
      <c r="H533" s="224">
        <v>698989</v>
      </c>
      <c r="I533" s="226">
        <v>0</v>
      </c>
      <c r="J533" s="224">
        <v>0</v>
      </c>
      <c r="K533" s="226">
        <v>0</v>
      </c>
      <c r="L533" s="224">
        <v>0</v>
      </c>
      <c r="M533" s="225">
        <v>0</v>
      </c>
      <c r="N533" s="224">
        <v>0</v>
      </c>
      <c r="O533" s="202"/>
    </row>
    <row r="534" spans="1:15">
      <c r="A534" s="209">
        <v>448</v>
      </c>
      <c r="B534" s="227" t="s">
        <v>522</v>
      </c>
      <c r="C534" s="224">
        <v>698989</v>
      </c>
      <c r="D534" s="224">
        <v>0</v>
      </c>
      <c r="E534" s="225">
        <v>0</v>
      </c>
      <c r="F534" s="224">
        <v>0</v>
      </c>
      <c r="G534" s="224">
        <v>345</v>
      </c>
      <c r="H534" s="224">
        <v>698989</v>
      </c>
      <c r="I534" s="226">
        <v>0</v>
      </c>
      <c r="J534" s="224">
        <v>0</v>
      </c>
      <c r="K534" s="226">
        <v>0</v>
      </c>
      <c r="L534" s="224">
        <v>0</v>
      </c>
      <c r="M534" s="225">
        <v>0</v>
      </c>
      <c r="N534" s="224">
        <v>0</v>
      </c>
      <c r="O534" s="202"/>
    </row>
    <row r="535" spans="1:15" ht="30">
      <c r="A535" s="209"/>
      <c r="B535" s="227" t="s">
        <v>653</v>
      </c>
      <c r="C535" s="224">
        <v>1218413</v>
      </c>
      <c r="D535" s="224">
        <v>0</v>
      </c>
      <c r="E535" s="225">
        <v>0</v>
      </c>
      <c r="F535" s="224">
        <v>0</v>
      </c>
      <c r="G535" s="224">
        <v>618</v>
      </c>
      <c r="H535" s="224">
        <v>1218413</v>
      </c>
      <c r="I535" s="226">
        <v>0</v>
      </c>
      <c r="J535" s="224">
        <v>0</v>
      </c>
      <c r="K535" s="226">
        <v>0</v>
      </c>
      <c r="L535" s="224">
        <v>0</v>
      </c>
      <c r="M535" s="225">
        <v>0</v>
      </c>
      <c r="N535" s="224">
        <v>0</v>
      </c>
      <c r="O535" s="202"/>
    </row>
    <row r="536" spans="1:15">
      <c r="A536" s="209">
        <v>449</v>
      </c>
      <c r="B536" s="227" t="s">
        <v>523</v>
      </c>
      <c r="C536" s="224">
        <v>1218413</v>
      </c>
      <c r="D536" s="224">
        <v>0</v>
      </c>
      <c r="E536" s="225">
        <v>0</v>
      </c>
      <c r="F536" s="224">
        <v>0</v>
      </c>
      <c r="G536" s="224">
        <v>618</v>
      </c>
      <c r="H536" s="224">
        <v>1218413</v>
      </c>
      <c r="I536" s="226">
        <v>0</v>
      </c>
      <c r="J536" s="224">
        <v>0</v>
      </c>
      <c r="K536" s="226">
        <v>0</v>
      </c>
      <c r="L536" s="224">
        <v>0</v>
      </c>
      <c r="M536" s="225">
        <v>0</v>
      </c>
      <c r="N536" s="224">
        <v>0</v>
      </c>
      <c r="O536" s="202"/>
    </row>
    <row r="537" spans="1:15">
      <c r="A537" s="209"/>
      <c r="B537" s="233" t="s">
        <v>70</v>
      </c>
      <c r="C537" s="224">
        <v>3203644.5599999996</v>
      </c>
      <c r="D537" s="224">
        <v>0</v>
      </c>
      <c r="E537" s="225">
        <v>0</v>
      </c>
      <c r="F537" s="224">
        <v>0</v>
      </c>
      <c r="G537" s="224">
        <v>1628</v>
      </c>
      <c r="H537" s="224">
        <v>3203644.5599999996</v>
      </c>
      <c r="I537" s="226">
        <v>0</v>
      </c>
      <c r="J537" s="224">
        <v>0</v>
      </c>
      <c r="K537" s="226">
        <v>0</v>
      </c>
      <c r="L537" s="224">
        <v>0</v>
      </c>
      <c r="M537" s="225">
        <v>0</v>
      </c>
      <c r="N537" s="224">
        <v>0</v>
      </c>
      <c r="O537" s="202"/>
    </row>
    <row r="538" spans="1:15" ht="30">
      <c r="A538" s="209"/>
      <c r="B538" s="227" t="s">
        <v>654</v>
      </c>
      <c r="C538" s="224">
        <v>3203644.5599999996</v>
      </c>
      <c r="D538" s="224">
        <v>0</v>
      </c>
      <c r="E538" s="225">
        <v>0</v>
      </c>
      <c r="F538" s="224">
        <v>0</v>
      </c>
      <c r="G538" s="224">
        <v>1628</v>
      </c>
      <c r="H538" s="224">
        <v>3203644.5599999996</v>
      </c>
      <c r="I538" s="226">
        <v>0</v>
      </c>
      <c r="J538" s="224">
        <v>0</v>
      </c>
      <c r="K538" s="226">
        <v>0</v>
      </c>
      <c r="L538" s="224">
        <v>0</v>
      </c>
      <c r="M538" s="225">
        <v>0</v>
      </c>
      <c r="N538" s="224">
        <v>0</v>
      </c>
      <c r="O538" s="202"/>
    </row>
    <row r="539" spans="1:15">
      <c r="A539" s="209">
        <v>450</v>
      </c>
      <c r="B539" s="227" t="s">
        <v>524</v>
      </c>
      <c r="C539" s="224">
        <v>1014242.07</v>
      </c>
      <c r="D539" s="224">
        <v>0</v>
      </c>
      <c r="E539" s="225">
        <v>0</v>
      </c>
      <c r="F539" s="224">
        <v>0</v>
      </c>
      <c r="G539" s="224">
        <v>492</v>
      </c>
      <c r="H539" s="224">
        <v>1014242.07</v>
      </c>
      <c r="I539" s="226">
        <v>0</v>
      </c>
      <c r="J539" s="224">
        <v>0</v>
      </c>
      <c r="K539" s="226">
        <v>0</v>
      </c>
      <c r="L539" s="224">
        <v>0</v>
      </c>
      <c r="M539" s="225">
        <v>0</v>
      </c>
      <c r="N539" s="224">
        <v>0</v>
      </c>
      <c r="O539" s="202"/>
    </row>
    <row r="540" spans="1:15">
      <c r="A540" s="209">
        <v>451</v>
      </c>
      <c r="B540" s="227" t="s">
        <v>526</v>
      </c>
      <c r="C540" s="224">
        <v>812174.49</v>
      </c>
      <c r="D540" s="224">
        <v>0</v>
      </c>
      <c r="E540" s="225">
        <v>0</v>
      </c>
      <c r="F540" s="224">
        <v>0</v>
      </c>
      <c r="G540" s="224">
        <v>446</v>
      </c>
      <c r="H540" s="224">
        <v>812174.49</v>
      </c>
      <c r="I540" s="226">
        <v>0</v>
      </c>
      <c r="J540" s="224">
        <v>0</v>
      </c>
      <c r="K540" s="226">
        <v>0</v>
      </c>
      <c r="L540" s="224">
        <v>0</v>
      </c>
      <c r="M540" s="225">
        <v>0</v>
      </c>
      <c r="N540" s="224">
        <v>0</v>
      </c>
      <c r="O540" s="202"/>
    </row>
    <row r="541" spans="1:15">
      <c r="A541" s="209">
        <v>452</v>
      </c>
      <c r="B541" s="227" t="s">
        <v>525</v>
      </c>
      <c r="C541" s="224">
        <v>1377228</v>
      </c>
      <c r="D541" s="224">
        <v>0</v>
      </c>
      <c r="E541" s="225">
        <v>0</v>
      </c>
      <c r="F541" s="224">
        <v>0</v>
      </c>
      <c r="G541" s="224">
        <v>690</v>
      </c>
      <c r="H541" s="224">
        <v>1377228</v>
      </c>
      <c r="I541" s="226">
        <v>0</v>
      </c>
      <c r="J541" s="224">
        <v>0</v>
      </c>
      <c r="K541" s="226">
        <v>0</v>
      </c>
      <c r="L541" s="224">
        <v>0</v>
      </c>
      <c r="M541" s="225">
        <v>0</v>
      </c>
      <c r="N541" s="224">
        <v>0</v>
      </c>
      <c r="O541" s="202"/>
    </row>
    <row r="542" spans="1:15">
      <c r="A542" s="209"/>
      <c r="B542" s="227" t="s">
        <v>128</v>
      </c>
      <c r="C542" s="224">
        <v>24105185</v>
      </c>
      <c r="D542" s="224">
        <v>4589892</v>
      </c>
      <c r="E542" s="226">
        <v>0</v>
      </c>
      <c r="F542" s="224">
        <v>0</v>
      </c>
      <c r="G542" s="224">
        <v>9943</v>
      </c>
      <c r="H542" s="224">
        <v>19515293</v>
      </c>
      <c r="I542" s="226">
        <v>0</v>
      </c>
      <c r="J542" s="224">
        <v>0</v>
      </c>
      <c r="K542" s="226">
        <v>0</v>
      </c>
      <c r="L542" s="224">
        <v>0</v>
      </c>
      <c r="M542" s="226">
        <v>0</v>
      </c>
      <c r="N542" s="224">
        <v>0</v>
      </c>
      <c r="O542" s="202"/>
    </row>
    <row r="543" spans="1:15" ht="30">
      <c r="A543" s="209">
        <v>453</v>
      </c>
      <c r="B543" s="256" t="s">
        <v>568</v>
      </c>
      <c r="C543" s="224">
        <v>2313568</v>
      </c>
      <c r="D543" s="224">
        <v>0</v>
      </c>
      <c r="E543" s="225">
        <v>0</v>
      </c>
      <c r="F543" s="224">
        <v>0</v>
      </c>
      <c r="G543" s="202">
        <v>1252</v>
      </c>
      <c r="H543" s="224">
        <v>2313568</v>
      </c>
      <c r="I543" s="225">
        <v>0</v>
      </c>
      <c r="J543" s="224">
        <v>0</v>
      </c>
      <c r="K543" s="226">
        <v>0</v>
      </c>
      <c r="L543" s="224">
        <v>0</v>
      </c>
      <c r="M543" s="225">
        <v>0</v>
      </c>
      <c r="N543" s="224">
        <v>0</v>
      </c>
      <c r="O543" s="202"/>
    </row>
    <row r="544" spans="1:15" ht="30">
      <c r="A544" s="209">
        <v>454</v>
      </c>
      <c r="B544" s="256" t="s">
        <v>567</v>
      </c>
      <c r="C544" s="224">
        <v>3605663</v>
      </c>
      <c r="D544" s="224">
        <v>0</v>
      </c>
      <c r="E544" s="225">
        <v>0</v>
      </c>
      <c r="F544" s="224">
        <v>0</v>
      </c>
      <c r="G544" s="202">
        <v>1833</v>
      </c>
      <c r="H544" s="224">
        <v>3605663</v>
      </c>
      <c r="I544" s="225">
        <v>0</v>
      </c>
      <c r="J544" s="224">
        <v>0</v>
      </c>
      <c r="K544" s="226">
        <v>0</v>
      </c>
      <c r="L544" s="224">
        <v>0</v>
      </c>
      <c r="M544" s="225">
        <v>0</v>
      </c>
      <c r="N544" s="224">
        <v>0</v>
      </c>
      <c r="O544" s="202"/>
    </row>
    <row r="545" spans="1:15" ht="30">
      <c r="A545" s="209">
        <v>455</v>
      </c>
      <c r="B545" s="256" t="s">
        <v>593</v>
      </c>
      <c r="C545" s="224">
        <v>4589892</v>
      </c>
      <c r="D545" s="224">
        <v>4589892</v>
      </c>
      <c r="E545" s="225">
        <v>0</v>
      </c>
      <c r="F545" s="224">
        <v>0</v>
      </c>
      <c r="G545" s="224">
        <v>0</v>
      </c>
      <c r="H545" s="224">
        <v>0</v>
      </c>
      <c r="I545" s="225">
        <v>0</v>
      </c>
      <c r="J545" s="224">
        <v>0</v>
      </c>
      <c r="K545" s="226">
        <v>0</v>
      </c>
      <c r="L545" s="224">
        <v>0</v>
      </c>
      <c r="M545" s="225">
        <v>0</v>
      </c>
      <c r="N545" s="224">
        <v>0</v>
      </c>
      <c r="O545" s="202"/>
    </row>
    <row r="546" spans="1:15">
      <c r="A546" s="209">
        <v>456</v>
      </c>
      <c r="B546" s="256" t="s">
        <v>530</v>
      </c>
      <c r="C546" s="224">
        <v>1563100</v>
      </c>
      <c r="D546" s="224">
        <v>0</v>
      </c>
      <c r="E546" s="225">
        <v>0</v>
      </c>
      <c r="F546" s="224">
        <v>0</v>
      </c>
      <c r="G546" s="202">
        <v>779</v>
      </c>
      <c r="H546" s="224">
        <v>1563100</v>
      </c>
      <c r="I546" s="225">
        <v>0</v>
      </c>
      <c r="J546" s="224">
        <v>0</v>
      </c>
      <c r="K546" s="226">
        <v>0</v>
      </c>
      <c r="L546" s="224">
        <v>0</v>
      </c>
      <c r="M546" s="225">
        <v>0</v>
      </c>
      <c r="N546" s="224">
        <v>0</v>
      </c>
      <c r="O546" s="202"/>
    </row>
    <row r="547" spans="1:15">
      <c r="A547" s="209">
        <v>457</v>
      </c>
      <c r="B547" s="256" t="s">
        <v>533</v>
      </c>
      <c r="C547" s="224">
        <v>1061789</v>
      </c>
      <c r="D547" s="224">
        <v>0</v>
      </c>
      <c r="E547" s="225">
        <v>0</v>
      </c>
      <c r="F547" s="224">
        <v>0</v>
      </c>
      <c r="G547" s="202">
        <v>557</v>
      </c>
      <c r="H547" s="224">
        <v>1061789</v>
      </c>
      <c r="I547" s="225">
        <v>0</v>
      </c>
      <c r="J547" s="224">
        <v>0</v>
      </c>
      <c r="K547" s="226">
        <v>0</v>
      </c>
      <c r="L547" s="224">
        <v>0</v>
      </c>
      <c r="M547" s="225">
        <v>0</v>
      </c>
      <c r="N547" s="224">
        <v>0</v>
      </c>
      <c r="O547" s="202"/>
    </row>
    <row r="548" spans="1:15" ht="30">
      <c r="A548" s="209">
        <v>458</v>
      </c>
      <c r="B548" s="256" t="s">
        <v>531</v>
      </c>
      <c r="C548" s="224">
        <v>1525114</v>
      </c>
      <c r="D548" s="224">
        <v>0</v>
      </c>
      <c r="E548" s="225">
        <v>0</v>
      </c>
      <c r="F548" s="224">
        <v>0</v>
      </c>
      <c r="G548" s="202">
        <v>759</v>
      </c>
      <c r="H548" s="224">
        <v>1525114</v>
      </c>
      <c r="I548" s="225">
        <v>0</v>
      </c>
      <c r="J548" s="224">
        <v>0</v>
      </c>
      <c r="K548" s="226">
        <v>0</v>
      </c>
      <c r="L548" s="224">
        <v>0</v>
      </c>
      <c r="M548" s="225">
        <v>0</v>
      </c>
      <c r="N548" s="224">
        <v>0</v>
      </c>
      <c r="O548" s="202"/>
    </row>
    <row r="549" spans="1:15" ht="30">
      <c r="A549" s="209">
        <v>459</v>
      </c>
      <c r="B549" s="256" t="s">
        <v>532</v>
      </c>
      <c r="C549" s="224">
        <v>1525114</v>
      </c>
      <c r="D549" s="224">
        <v>0</v>
      </c>
      <c r="E549" s="225">
        <v>0</v>
      </c>
      <c r="F549" s="224">
        <v>0</v>
      </c>
      <c r="G549" s="202">
        <v>759</v>
      </c>
      <c r="H549" s="224">
        <v>1525114</v>
      </c>
      <c r="I549" s="225">
        <v>0</v>
      </c>
      <c r="J549" s="224">
        <v>0</v>
      </c>
      <c r="K549" s="226">
        <v>0</v>
      </c>
      <c r="L549" s="224">
        <v>0</v>
      </c>
      <c r="M549" s="225">
        <v>0</v>
      </c>
      <c r="N549" s="224">
        <v>0</v>
      </c>
      <c r="O549" s="202"/>
    </row>
    <row r="550" spans="1:15" ht="30">
      <c r="A550" s="209">
        <v>460</v>
      </c>
      <c r="B550" s="256" t="s">
        <v>528</v>
      </c>
      <c r="C550" s="224">
        <v>1525114</v>
      </c>
      <c r="D550" s="224">
        <v>0</v>
      </c>
      <c r="E550" s="225">
        <v>0</v>
      </c>
      <c r="F550" s="224">
        <v>0</v>
      </c>
      <c r="G550" s="202">
        <v>759</v>
      </c>
      <c r="H550" s="224">
        <v>1525114</v>
      </c>
      <c r="I550" s="225">
        <v>0</v>
      </c>
      <c r="J550" s="224">
        <v>0</v>
      </c>
      <c r="K550" s="226">
        <v>0</v>
      </c>
      <c r="L550" s="224">
        <v>0</v>
      </c>
      <c r="M550" s="225">
        <v>0</v>
      </c>
      <c r="N550" s="224">
        <v>0</v>
      </c>
      <c r="O550" s="202"/>
    </row>
    <row r="551" spans="1:15">
      <c r="A551" s="209">
        <v>461</v>
      </c>
      <c r="B551" s="256" t="s">
        <v>529</v>
      </c>
      <c r="C551" s="224">
        <v>2315245</v>
      </c>
      <c r="D551" s="224">
        <v>0</v>
      </c>
      <c r="E551" s="225">
        <v>0</v>
      </c>
      <c r="F551" s="224">
        <v>0</v>
      </c>
      <c r="G551" s="202">
        <v>1162</v>
      </c>
      <c r="H551" s="224">
        <v>2315245</v>
      </c>
      <c r="I551" s="225">
        <v>0</v>
      </c>
      <c r="J551" s="224">
        <v>0</v>
      </c>
      <c r="K551" s="226">
        <v>0</v>
      </c>
      <c r="L551" s="224">
        <v>0</v>
      </c>
      <c r="M551" s="225">
        <v>0</v>
      </c>
      <c r="N551" s="224">
        <v>0</v>
      </c>
      <c r="O551" s="202"/>
    </row>
    <row r="552" spans="1:15" ht="30">
      <c r="A552" s="209">
        <v>462</v>
      </c>
      <c r="B552" s="256" t="s">
        <v>535</v>
      </c>
      <c r="C552" s="224">
        <v>1110120</v>
      </c>
      <c r="D552" s="224">
        <v>0</v>
      </c>
      <c r="E552" s="225">
        <v>0</v>
      </c>
      <c r="F552" s="224">
        <v>0</v>
      </c>
      <c r="G552" s="202">
        <v>557</v>
      </c>
      <c r="H552" s="224">
        <v>1110120</v>
      </c>
      <c r="I552" s="225">
        <v>0</v>
      </c>
      <c r="J552" s="224">
        <v>0</v>
      </c>
      <c r="K552" s="226">
        <v>0</v>
      </c>
      <c r="L552" s="224">
        <v>0</v>
      </c>
      <c r="M552" s="225">
        <v>0</v>
      </c>
      <c r="N552" s="224">
        <v>0</v>
      </c>
      <c r="O552" s="202"/>
    </row>
    <row r="553" spans="1:15" ht="30">
      <c r="A553" s="209">
        <v>463</v>
      </c>
      <c r="B553" s="256" t="s">
        <v>534</v>
      </c>
      <c r="C553" s="224">
        <v>2970466</v>
      </c>
      <c r="D553" s="224">
        <v>0</v>
      </c>
      <c r="E553" s="225">
        <v>0</v>
      </c>
      <c r="F553" s="224">
        <v>0</v>
      </c>
      <c r="G553" s="202">
        <v>1526</v>
      </c>
      <c r="H553" s="224">
        <v>2970466</v>
      </c>
      <c r="I553" s="225">
        <v>0</v>
      </c>
      <c r="J553" s="224">
        <v>0</v>
      </c>
      <c r="K553" s="226">
        <v>0</v>
      </c>
      <c r="L553" s="224">
        <v>0</v>
      </c>
      <c r="M553" s="225">
        <v>0</v>
      </c>
      <c r="N553" s="224">
        <v>0</v>
      </c>
      <c r="O553" s="202"/>
    </row>
    <row r="554" spans="1:15">
      <c r="A554" s="209"/>
      <c r="B554" s="233" t="s">
        <v>71</v>
      </c>
      <c r="C554" s="224">
        <v>2507155.0699999998</v>
      </c>
      <c r="D554" s="224">
        <v>0</v>
      </c>
      <c r="E554" s="225">
        <v>0</v>
      </c>
      <c r="F554" s="224">
        <v>0</v>
      </c>
      <c r="G554" s="224">
        <v>1630.2</v>
      </c>
      <c r="H554" s="224">
        <v>2507155.0699999998</v>
      </c>
      <c r="I554" s="225">
        <v>0</v>
      </c>
      <c r="J554" s="224">
        <v>0</v>
      </c>
      <c r="K554" s="226">
        <v>0</v>
      </c>
      <c r="L554" s="224">
        <v>0</v>
      </c>
      <c r="M554" s="225">
        <v>0</v>
      </c>
      <c r="N554" s="224">
        <v>0</v>
      </c>
      <c r="O554" s="202"/>
    </row>
    <row r="555" spans="1:15" ht="30">
      <c r="A555" s="209"/>
      <c r="B555" s="227" t="s">
        <v>655</v>
      </c>
      <c r="C555" s="224">
        <v>728197.07</v>
      </c>
      <c r="D555" s="224">
        <v>0</v>
      </c>
      <c r="E555" s="225">
        <v>0</v>
      </c>
      <c r="F555" s="224">
        <v>0</v>
      </c>
      <c r="G555" s="224">
        <v>731.2</v>
      </c>
      <c r="H555" s="224">
        <v>728197.07</v>
      </c>
      <c r="I555" s="225">
        <v>0</v>
      </c>
      <c r="J555" s="224">
        <v>0</v>
      </c>
      <c r="K555" s="226">
        <v>0</v>
      </c>
      <c r="L555" s="224">
        <v>0</v>
      </c>
      <c r="M555" s="225">
        <v>0</v>
      </c>
      <c r="N555" s="224">
        <v>0</v>
      </c>
      <c r="O555" s="202"/>
    </row>
    <row r="556" spans="1:15" s="22" customFormat="1">
      <c r="A556" s="209">
        <v>464</v>
      </c>
      <c r="B556" s="272" t="s">
        <v>536</v>
      </c>
      <c r="C556" s="224">
        <v>728197.07</v>
      </c>
      <c r="D556" s="224">
        <v>0</v>
      </c>
      <c r="E556" s="225">
        <v>0</v>
      </c>
      <c r="F556" s="224">
        <v>0</v>
      </c>
      <c r="G556" s="224">
        <v>731.2</v>
      </c>
      <c r="H556" s="224">
        <v>728197.07</v>
      </c>
      <c r="I556" s="225">
        <v>0</v>
      </c>
      <c r="J556" s="224">
        <v>0</v>
      </c>
      <c r="K556" s="226">
        <v>0</v>
      </c>
      <c r="L556" s="224">
        <v>0</v>
      </c>
      <c r="M556" s="225">
        <v>0</v>
      </c>
      <c r="N556" s="224">
        <v>0</v>
      </c>
      <c r="O556" s="202"/>
    </row>
    <row r="557" spans="1:15" ht="45">
      <c r="A557" s="209"/>
      <c r="B557" s="227" t="s">
        <v>656</v>
      </c>
      <c r="C557" s="224">
        <v>1778958</v>
      </c>
      <c r="D557" s="224">
        <v>0</v>
      </c>
      <c r="E557" s="225">
        <v>0</v>
      </c>
      <c r="F557" s="224">
        <v>0</v>
      </c>
      <c r="G557" s="224">
        <v>899</v>
      </c>
      <c r="H557" s="224">
        <v>1778958</v>
      </c>
      <c r="I557" s="225">
        <v>0</v>
      </c>
      <c r="J557" s="224">
        <v>0</v>
      </c>
      <c r="K557" s="226">
        <v>0</v>
      </c>
      <c r="L557" s="224">
        <v>0</v>
      </c>
      <c r="M557" s="225">
        <v>0</v>
      </c>
      <c r="N557" s="224">
        <v>0</v>
      </c>
      <c r="O557" s="202"/>
    </row>
    <row r="558" spans="1:15">
      <c r="A558" s="209">
        <v>465</v>
      </c>
      <c r="B558" s="227" t="s">
        <v>537</v>
      </c>
      <c r="C558" s="224">
        <v>1778958</v>
      </c>
      <c r="D558" s="224">
        <v>0</v>
      </c>
      <c r="E558" s="225">
        <v>0</v>
      </c>
      <c r="F558" s="224">
        <v>0</v>
      </c>
      <c r="G558" s="224">
        <v>899</v>
      </c>
      <c r="H558" s="224">
        <v>1778958</v>
      </c>
      <c r="I558" s="225">
        <v>0</v>
      </c>
      <c r="J558" s="224">
        <v>0</v>
      </c>
      <c r="K558" s="226">
        <v>0</v>
      </c>
      <c r="L558" s="224">
        <v>0</v>
      </c>
      <c r="M558" s="225">
        <v>0</v>
      </c>
      <c r="N558" s="224">
        <v>0</v>
      </c>
      <c r="O558" s="202"/>
    </row>
  </sheetData>
  <autoFilter ref="A5:O558"/>
  <sortState ref="B8:AD175">
    <sortCondition ref="B8:B175"/>
  </sortState>
  <mergeCells count="11">
    <mergeCell ref="M3:N3"/>
    <mergeCell ref="A1:O1"/>
    <mergeCell ref="A2:A4"/>
    <mergeCell ref="B2:B4"/>
    <mergeCell ref="C2:C3"/>
    <mergeCell ref="D2:N2"/>
    <mergeCell ref="O2:O4"/>
    <mergeCell ref="E3:F3"/>
    <mergeCell ref="G3:H3"/>
    <mergeCell ref="I3:J3"/>
    <mergeCell ref="K3:L3"/>
  </mergeCells>
  <printOptions horizontalCentered="1"/>
  <pageMargins left="3.937007874015748E-2" right="3.937007874015748E-2" top="0.98425196850393704" bottom="0.39370078740157483" header="0.70866141732283472" footer="0.19685039370078741"/>
  <pageSetup paperSize="9" scale="76" firstPageNumber="21" orientation="landscape" useFirstPageNumber="1" horizontalDpi="4294967294" verticalDpi="4294967294" r:id="rId1"/>
  <headerFooter>
    <oddHeader>&amp;C&amp;P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zoomScaleNormal="100" zoomScaleSheetLayoutView="90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Q92" sqref="Q92"/>
    </sheetView>
  </sheetViews>
  <sheetFormatPr defaultColWidth="8.85546875" defaultRowHeight="15"/>
  <cols>
    <col min="1" max="1" width="5.7109375" style="19" customWidth="1"/>
    <col min="2" max="2" width="28.5703125" style="1" customWidth="1"/>
    <col min="3" max="3" width="12" style="50" customWidth="1"/>
    <col min="4" max="4" width="14.7109375" style="54" customWidth="1"/>
    <col min="5" max="9" width="9.7109375" style="21" customWidth="1"/>
    <col min="10" max="11" width="9.7109375" style="1" customWidth="1"/>
    <col min="12" max="12" width="13.140625" style="23" customWidth="1"/>
    <col min="13" max="13" width="13.5703125" style="1" customWidth="1"/>
    <col min="14" max="14" width="14.28515625" style="1" customWidth="1"/>
    <col min="15" max="16384" width="8.85546875" style="1"/>
  </cols>
  <sheetData>
    <row r="1" spans="1:14" ht="45" customHeight="1">
      <c r="A1" s="327" t="s">
        <v>121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ht="62.25" customHeight="1">
      <c r="A2" s="324" t="s">
        <v>0</v>
      </c>
      <c r="B2" s="324" t="s">
        <v>25</v>
      </c>
      <c r="C2" s="328" t="s">
        <v>595</v>
      </c>
      <c r="D2" s="329" t="s">
        <v>671</v>
      </c>
      <c r="E2" s="326" t="s">
        <v>26</v>
      </c>
      <c r="F2" s="326"/>
      <c r="G2" s="326"/>
      <c r="H2" s="326"/>
      <c r="I2" s="326"/>
      <c r="J2" s="324" t="s">
        <v>6</v>
      </c>
      <c r="K2" s="324"/>
      <c r="L2" s="324"/>
      <c r="M2" s="324"/>
      <c r="N2" s="324"/>
    </row>
    <row r="3" spans="1:14" ht="48" customHeight="1">
      <c r="A3" s="324"/>
      <c r="B3" s="324"/>
      <c r="C3" s="328"/>
      <c r="D3" s="329"/>
      <c r="E3" s="198" t="s">
        <v>27</v>
      </c>
      <c r="F3" s="198" t="s">
        <v>28</v>
      </c>
      <c r="G3" s="198" t="s">
        <v>29</v>
      </c>
      <c r="H3" s="198" t="s">
        <v>30</v>
      </c>
      <c r="I3" s="198" t="s">
        <v>556</v>
      </c>
      <c r="J3" s="196" t="s">
        <v>27</v>
      </c>
      <c r="K3" s="196" t="s">
        <v>28</v>
      </c>
      <c r="L3" s="197" t="s">
        <v>29</v>
      </c>
      <c r="M3" s="196" t="s">
        <v>30</v>
      </c>
      <c r="N3" s="196" t="s">
        <v>556</v>
      </c>
    </row>
    <row r="4" spans="1:14">
      <c r="A4" s="324"/>
      <c r="B4" s="324"/>
      <c r="C4" s="273" t="s">
        <v>21</v>
      </c>
      <c r="D4" s="274" t="s">
        <v>16</v>
      </c>
      <c r="E4" s="200" t="s">
        <v>23</v>
      </c>
      <c r="F4" s="200" t="s">
        <v>23</v>
      </c>
      <c r="G4" s="200" t="s">
        <v>23</v>
      </c>
      <c r="H4" s="200" t="s">
        <v>23</v>
      </c>
      <c r="I4" s="200" t="s">
        <v>23</v>
      </c>
      <c r="J4" s="199" t="s">
        <v>17</v>
      </c>
      <c r="K4" s="199" t="s">
        <v>17</v>
      </c>
      <c r="L4" s="275" t="s">
        <v>17</v>
      </c>
      <c r="M4" s="199" t="s">
        <v>17</v>
      </c>
      <c r="N4" s="199" t="s">
        <v>17</v>
      </c>
    </row>
    <row r="5" spans="1:14" ht="12.75" customHeight="1">
      <c r="A5" s="276">
        <v>1</v>
      </c>
      <c r="B5" s="276">
        <v>2</v>
      </c>
      <c r="C5" s="277">
        <v>3</v>
      </c>
      <c r="D5" s="278">
        <v>4</v>
      </c>
      <c r="E5" s="277">
        <v>5</v>
      </c>
      <c r="F5" s="277">
        <v>6</v>
      </c>
      <c r="G5" s="277">
        <v>7</v>
      </c>
      <c r="H5" s="277">
        <v>8</v>
      </c>
      <c r="I5" s="277">
        <v>9</v>
      </c>
      <c r="J5" s="276">
        <v>10</v>
      </c>
      <c r="K5" s="276">
        <v>11</v>
      </c>
      <c r="L5" s="277">
        <v>12</v>
      </c>
      <c r="M5" s="276">
        <v>13</v>
      </c>
      <c r="N5" s="276">
        <v>14</v>
      </c>
    </row>
    <row r="6" spans="1:14" ht="28.5" customHeight="1">
      <c r="A6" s="199"/>
      <c r="B6" s="279" t="s">
        <v>42</v>
      </c>
      <c r="C6" s="280">
        <v>1162362.3599999999</v>
      </c>
      <c r="D6" s="281">
        <v>41860</v>
      </c>
      <c r="E6" s="281">
        <v>0</v>
      </c>
      <c r="F6" s="281">
        <v>0</v>
      </c>
      <c r="G6" s="281">
        <v>32</v>
      </c>
      <c r="H6" s="282">
        <v>433</v>
      </c>
      <c r="I6" s="282">
        <v>465</v>
      </c>
      <c r="J6" s="283">
        <v>0</v>
      </c>
      <c r="K6" s="283">
        <v>0</v>
      </c>
      <c r="L6" s="283">
        <v>50937170.07</v>
      </c>
      <c r="M6" s="283">
        <v>647484574.73000002</v>
      </c>
      <c r="N6" s="283">
        <v>698421744.79999995</v>
      </c>
    </row>
    <row r="7" spans="1:14" ht="15.75" customHeight="1">
      <c r="A7" s="199">
        <v>1</v>
      </c>
      <c r="B7" s="279" t="s">
        <v>659</v>
      </c>
      <c r="C7" s="280">
        <v>505528.53</v>
      </c>
      <c r="D7" s="281">
        <v>18992</v>
      </c>
      <c r="E7" s="282">
        <v>0</v>
      </c>
      <c r="F7" s="282">
        <v>0</v>
      </c>
      <c r="G7" s="282">
        <v>0</v>
      </c>
      <c r="H7" s="282">
        <v>168</v>
      </c>
      <c r="I7" s="282">
        <v>168</v>
      </c>
      <c r="J7" s="283">
        <v>0</v>
      </c>
      <c r="K7" s="283">
        <v>0</v>
      </c>
      <c r="L7" s="283">
        <v>0</v>
      </c>
      <c r="M7" s="283">
        <v>336230870.63</v>
      </c>
      <c r="N7" s="283">
        <v>336230870.63</v>
      </c>
    </row>
    <row r="8" spans="1:14" ht="26.25" customHeight="1">
      <c r="A8" s="199">
        <v>2</v>
      </c>
      <c r="B8" s="279" t="s">
        <v>607</v>
      </c>
      <c r="C8" s="280">
        <v>54965.7</v>
      </c>
      <c r="D8" s="281">
        <v>1856</v>
      </c>
      <c r="E8" s="282">
        <v>0</v>
      </c>
      <c r="F8" s="282">
        <v>0</v>
      </c>
      <c r="G8" s="282">
        <v>0</v>
      </c>
      <c r="H8" s="282">
        <v>8</v>
      </c>
      <c r="I8" s="282">
        <v>8</v>
      </c>
      <c r="J8" s="283">
        <v>0</v>
      </c>
      <c r="K8" s="283">
        <v>0</v>
      </c>
      <c r="L8" s="283">
        <v>0</v>
      </c>
      <c r="M8" s="283">
        <v>31626806</v>
      </c>
      <c r="N8" s="283">
        <v>31626806</v>
      </c>
    </row>
    <row r="9" spans="1:14" ht="15.75" customHeight="1">
      <c r="A9" s="199">
        <v>3</v>
      </c>
      <c r="B9" s="279" t="s">
        <v>608</v>
      </c>
      <c r="C9" s="280">
        <v>488.9</v>
      </c>
      <c r="D9" s="281">
        <v>25</v>
      </c>
      <c r="E9" s="282">
        <v>0</v>
      </c>
      <c r="F9" s="282">
        <v>0</v>
      </c>
      <c r="G9" s="282">
        <v>0</v>
      </c>
      <c r="H9" s="282">
        <v>1</v>
      </c>
      <c r="I9" s="282">
        <v>1</v>
      </c>
      <c r="J9" s="283">
        <v>0</v>
      </c>
      <c r="K9" s="283">
        <v>0</v>
      </c>
      <c r="L9" s="283">
        <v>0</v>
      </c>
      <c r="M9" s="283">
        <v>1719552</v>
      </c>
      <c r="N9" s="283">
        <v>1719552</v>
      </c>
    </row>
    <row r="10" spans="1:14" ht="15.75" customHeight="1">
      <c r="A10" s="199">
        <v>4</v>
      </c>
      <c r="B10" s="279" t="s">
        <v>609</v>
      </c>
      <c r="C10" s="280">
        <v>59577</v>
      </c>
      <c r="D10" s="281">
        <v>1841</v>
      </c>
      <c r="E10" s="282">
        <v>0</v>
      </c>
      <c r="F10" s="282">
        <v>0</v>
      </c>
      <c r="G10" s="282">
        <v>25</v>
      </c>
      <c r="H10" s="282">
        <v>0</v>
      </c>
      <c r="I10" s="282">
        <v>25</v>
      </c>
      <c r="J10" s="283">
        <v>0</v>
      </c>
      <c r="K10" s="283">
        <v>0</v>
      </c>
      <c r="L10" s="283">
        <v>38840631</v>
      </c>
      <c r="M10" s="284">
        <v>0</v>
      </c>
      <c r="N10" s="283">
        <v>38840631</v>
      </c>
    </row>
    <row r="11" spans="1:14" ht="16.5" customHeight="1">
      <c r="A11" s="199">
        <v>5</v>
      </c>
      <c r="B11" s="285" t="s">
        <v>610</v>
      </c>
      <c r="C11" s="280">
        <v>40346.160000000003</v>
      </c>
      <c r="D11" s="281">
        <v>1361</v>
      </c>
      <c r="E11" s="282">
        <v>0</v>
      </c>
      <c r="F11" s="282">
        <v>0</v>
      </c>
      <c r="G11" s="282">
        <v>0</v>
      </c>
      <c r="H11" s="282">
        <v>12</v>
      </c>
      <c r="I11" s="282">
        <v>12</v>
      </c>
      <c r="J11" s="283">
        <v>0</v>
      </c>
      <c r="K11" s="283">
        <v>0</v>
      </c>
      <c r="L11" s="283">
        <v>0</v>
      </c>
      <c r="M11" s="283">
        <v>24292048</v>
      </c>
      <c r="N11" s="283">
        <v>24292048</v>
      </c>
    </row>
    <row r="12" spans="1:14" s="3" customFormat="1">
      <c r="A12" s="199">
        <v>6</v>
      </c>
      <c r="B12" s="286" t="s">
        <v>611</v>
      </c>
      <c r="C12" s="275">
        <v>71930.62999999999</v>
      </c>
      <c r="D12" s="274">
        <v>2246</v>
      </c>
      <c r="E12" s="282">
        <v>0</v>
      </c>
      <c r="F12" s="282">
        <v>0</v>
      </c>
      <c r="G12" s="282">
        <v>0</v>
      </c>
      <c r="H12" s="200">
        <v>16</v>
      </c>
      <c r="I12" s="282">
        <v>16</v>
      </c>
      <c r="J12" s="287">
        <v>0</v>
      </c>
      <c r="K12" s="287">
        <v>0</v>
      </c>
      <c r="L12" s="287">
        <v>0</v>
      </c>
      <c r="M12" s="287">
        <v>10965596.940000001</v>
      </c>
      <c r="N12" s="287">
        <v>10965596.940000001</v>
      </c>
    </row>
    <row r="13" spans="1:14" s="3" customFormat="1">
      <c r="A13" s="196"/>
      <c r="B13" s="286" t="s">
        <v>98</v>
      </c>
      <c r="C13" s="275">
        <v>3748.7</v>
      </c>
      <c r="D13" s="274">
        <v>102</v>
      </c>
      <c r="E13" s="200">
        <v>0</v>
      </c>
      <c r="F13" s="200">
        <v>0</v>
      </c>
      <c r="G13" s="200">
        <v>0</v>
      </c>
      <c r="H13" s="200">
        <v>7</v>
      </c>
      <c r="I13" s="282">
        <v>7</v>
      </c>
      <c r="J13" s="287">
        <v>0</v>
      </c>
      <c r="K13" s="287">
        <v>0</v>
      </c>
      <c r="L13" s="287">
        <v>0</v>
      </c>
      <c r="M13" s="287">
        <v>7226531</v>
      </c>
      <c r="N13" s="287">
        <v>7226531</v>
      </c>
    </row>
    <row r="14" spans="1:14" s="3" customFormat="1" ht="25.5">
      <c r="A14" s="196">
        <v>7</v>
      </c>
      <c r="B14" s="286" t="s">
        <v>606</v>
      </c>
      <c r="C14" s="275">
        <v>3748.7</v>
      </c>
      <c r="D14" s="274">
        <v>102</v>
      </c>
      <c r="E14" s="282">
        <v>0</v>
      </c>
      <c r="F14" s="282">
        <v>0</v>
      </c>
      <c r="G14" s="282">
        <v>0</v>
      </c>
      <c r="H14" s="200">
        <v>7</v>
      </c>
      <c r="I14" s="282">
        <v>7</v>
      </c>
      <c r="J14" s="287">
        <v>0</v>
      </c>
      <c r="K14" s="287">
        <v>0</v>
      </c>
      <c r="L14" s="287">
        <v>0</v>
      </c>
      <c r="M14" s="287">
        <v>7226531</v>
      </c>
      <c r="N14" s="287">
        <v>7226531</v>
      </c>
    </row>
    <row r="15" spans="1:14">
      <c r="A15" s="288"/>
      <c r="B15" s="279" t="s">
        <v>41</v>
      </c>
      <c r="C15" s="280">
        <v>19440.7</v>
      </c>
      <c r="D15" s="281">
        <v>564</v>
      </c>
      <c r="E15" s="282">
        <v>0</v>
      </c>
      <c r="F15" s="282">
        <v>0</v>
      </c>
      <c r="G15" s="282">
        <v>0</v>
      </c>
      <c r="H15" s="282">
        <v>5</v>
      </c>
      <c r="I15" s="282">
        <v>5</v>
      </c>
      <c r="J15" s="283">
        <v>0</v>
      </c>
      <c r="K15" s="283">
        <v>0</v>
      </c>
      <c r="L15" s="283">
        <v>0</v>
      </c>
      <c r="M15" s="283">
        <v>12161074</v>
      </c>
      <c r="N15" s="283">
        <v>12161074</v>
      </c>
    </row>
    <row r="16" spans="1:14" ht="25.5">
      <c r="A16" s="288">
        <v>8</v>
      </c>
      <c r="B16" s="279" t="s">
        <v>612</v>
      </c>
      <c r="C16" s="280">
        <v>19440.7</v>
      </c>
      <c r="D16" s="281">
        <v>564</v>
      </c>
      <c r="E16" s="282">
        <v>0</v>
      </c>
      <c r="F16" s="282">
        <v>0</v>
      </c>
      <c r="G16" s="282">
        <v>0</v>
      </c>
      <c r="H16" s="282">
        <v>5</v>
      </c>
      <c r="I16" s="282">
        <v>5</v>
      </c>
      <c r="J16" s="283">
        <v>0</v>
      </c>
      <c r="K16" s="283">
        <v>0</v>
      </c>
      <c r="L16" s="283">
        <v>0</v>
      </c>
      <c r="M16" s="283">
        <v>12161074</v>
      </c>
      <c r="N16" s="283">
        <v>12161074</v>
      </c>
    </row>
    <row r="17" spans="1:14">
      <c r="A17" s="288"/>
      <c r="B17" s="279" t="s">
        <v>72</v>
      </c>
      <c r="C17" s="280">
        <v>472.7</v>
      </c>
      <c r="D17" s="281">
        <v>21</v>
      </c>
      <c r="E17" s="282">
        <v>0</v>
      </c>
      <c r="F17" s="282">
        <v>0</v>
      </c>
      <c r="G17" s="282">
        <v>0</v>
      </c>
      <c r="H17" s="282">
        <v>1</v>
      </c>
      <c r="I17" s="282">
        <v>1</v>
      </c>
      <c r="J17" s="283">
        <v>0</v>
      </c>
      <c r="K17" s="283">
        <v>0</v>
      </c>
      <c r="L17" s="283">
        <v>0</v>
      </c>
      <c r="M17" s="283">
        <v>859774</v>
      </c>
      <c r="N17" s="283">
        <v>859774</v>
      </c>
    </row>
    <row r="18" spans="1:14" ht="25.5">
      <c r="A18" s="288">
        <v>9</v>
      </c>
      <c r="B18" s="279" t="s">
        <v>613</v>
      </c>
      <c r="C18" s="280">
        <v>472.7</v>
      </c>
      <c r="D18" s="281">
        <v>21</v>
      </c>
      <c r="E18" s="282">
        <v>0</v>
      </c>
      <c r="F18" s="282">
        <v>0</v>
      </c>
      <c r="G18" s="282">
        <v>0</v>
      </c>
      <c r="H18" s="282">
        <v>1</v>
      </c>
      <c r="I18" s="282">
        <v>1</v>
      </c>
      <c r="J18" s="283">
        <v>0</v>
      </c>
      <c r="K18" s="283">
        <v>0</v>
      </c>
      <c r="L18" s="283">
        <v>0</v>
      </c>
      <c r="M18" s="283">
        <v>859774</v>
      </c>
      <c r="N18" s="283">
        <v>859774</v>
      </c>
    </row>
    <row r="19" spans="1:14" s="18" customFormat="1" ht="12.75">
      <c r="A19" s="289"/>
      <c r="B19" s="289" t="s">
        <v>48</v>
      </c>
      <c r="C19" s="280">
        <v>23164.559999999998</v>
      </c>
      <c r="D19" s="290">
        <v>853</v>
      </c>
      <c r="E19" s="282">
        <v>0</v>
      </c>
      <c r="F19" s="282">
        <v>0</v>
      </c>
      <c r="G19" s="282">
        <v>0</v>
      </c>
      <c r="H19" s="282">
        <v>16</v>
      </c>
      <c r="I19" s="282">
        <v>16</v>
      </c>
      <c r="J19" s="283">
        <v>0</v>
      </c>
      <c r="K19" s="283">
        <v>0</v>
      </c>
      <c r="L19" s="283">
        <v>0</v>
      </c>
      <c r="M19" s="283">
        <v>23032470</v>
      </c>
      <c r="N19" s="283">
        <v>23032470</v>
      </c>
    </row>
    <row r="20" spans="1:14" s="18" customFormat="1" ht="25.5">
      <c r="A20" s="288">
        <v>10</v>
      </c>
      <c r="B20" s="285" t="s">
        <v>662</v>
      </c>
      <c r="C20" s="280">
        <v>20106.559999999998</v>
      </c>
      <c r="D20" s="281">
        <v>735</v>
      </c>
      <c r="E20" s="282">
        <v>0</v>
      </c>
      <c r="F20" s="282">
        <v>0</v>
      </c>
      <c r="G20" s="282">
        <v>0</v>
      </c>
      <c r="H20" s="282">
        <v>14</v>
      </c>
      <c r="I20" s="282">
        <v>14</v>
      </c>
      <c r="J20" s="283">
        <v>0</v>
      </c>
      <c r="K20" s="283">
        <v>0</v>
      </c>
      <c r="L20" s="283">
        <v>0</v>
      </c>
      <c r="M20" s="283">
        <v>20696312</v>
      </c>
      <c r="N20" s="283">
        <v>20696312</v>
      </c>
    </row>
    <row r="21" spans="1:14" s="18" customFormat="1" ht="25.5">
      <c r="A21" s="288">
        <v>11</v>
      </c>
      <c r="B21" s="285" t="s">
        <v>661</v>
      </c>
      <c r="C21" s="280">
        <v>3058</v>
      </c>
      <c r="D21" s="281">
        <v>118</v>
      </c>
      <c r="E21" s="282">
        <v>0</v>
      </c>
      <c r="F21" s="282">
        <v>0</v>
      </c>
      <c r="G21" s="282">
        <v>0</v>
      </c>
      <c r="H21" s="282">
        <v>2</v>
      </c>
      <c r="I21" s="282">
        <v>2</v>
      </c>
      <c r="J21" s="283">
        <v>0</v>
      </c>
      <c r="K21" s="283">
        <v>0</v>
      </c>
      <c r="L21" s="283">
        <v>0</v>
      </c>
      <c r="M21" s="283">
        <v>2336158</v>
      </c>
      <c r="N21" s="283">
        <v>2336158</v>
      </c>
    </row>
    <row r="22" spans="1:14">
      <c r="A22" s="288"/>
      <c r="B22" s="289" t="s">
        <v>49</v>
      </c>
      <c r="C22" s="280">
        <v>6127.8</v>
      </c>
      <c r="D22" s="281">
        <v>205</v>
      </c>
      <c r="E22" s="282">
        <v>0</v>
      </c>
      <c r="F22" s="282">
        <v>0</v>
      </c>
      <c r="G22" s="282">
        <v>0</v>
      </c>
      <c r="H22" s="282">
        <v>2</v>
      </c>
      <c r="I22" s="282">
        <v>2</v>
      </c>
      <c r="J22" s="283">
        <v>0</v>
      </c>
      <c r="K22" s="283">
        <v>0</v>
      </c>
      <c r="L22" s="283">
        <v>0</v>
      </c>
      <c r="M22" s="283">
        <v>4547180</v>
      </c>
      <c r="N22" s="283">
        <v>4547180</v>
      </c>
    </row>
    <row r="23" spans="1:14" s="17" customFormat="1" ht="25.5">
      <c r="A23" s="288">
        <v>12</v>
      </c>
      <c r="B23" s="285" t="s">
        <v>614</v>
      </c>
      <c r="C23" s="280">
        <v>6127.8</v>
      </c>
      <c r="D23" s="281">
        <v>205</v>
      </c>
      <c r="E23" s="282">
        <v>0</v>
      </c>
      <c r="F23" s="282">
        <v>0</v>
      </c>
      <c r="G23" s="282">
        <v>0</v>
      </c>
      <c r="H23" s="282">
        <v>2</v>
      </c>
      <c r="I23" s="282">
        <v>2</v>
      </c>
      <c r="J23" s="283">
        <v>0</v>
      </c>
      <c r="K23" s="283">
        <v>0</v>
      </c>
      <c r="L23" s="283">
        <v>0</v>
      </c>
      <c r="M23" s="283">
        <v>4547180</v>
      </c>
      <c r="N23" s="283">
        <v>4547180</v>
      </c>
    </row>
    <row r="24" spans="1:14">
      <c r="A24" s="288"/>
      <c r="B24" s="289" t="s">
        <v>50</v>
      </c>
      <c r="C24" s="280">
        <v>18214</v>
      </c>
      <c r="D24" s="281">
        <v>719</v>
      </c>
      <c r="E24" s="282">
        <v>0</v>
      </c>
      <c r="F24" s="282">
        <v>0</v>
      </c>
      <c r="G24" s="282">
        <v>0</v>
      </c>
      <c r="H24" s="282">
        <v>9</v>
      </c>
      <c r="I24" s="282">
        <v>9</v>
      </c>
      <c r="J24" s="283">
        <v>0</v>
      </c>
      <c r="K24" s="283">
        <v>0</v>
      </c>
      <c r="L24" s="283">
        <v>0</v>
      </c>
      <c r="M24" s="283">
        <v>12209518</v>
      </c>
      <c r="N24" s="283">
        <v>12209518</v>
      </c>
    </row>
    <row r="25" spans="1:14" ht="38.25">
      <c r="A25" s="288">
        <v>13</v>
      </c>
      <c r="B25" s="291" t="s">
        <v>615</v>
      </c>
      <c r="C25" s="280">
        <v>6651.2000000000007</v>
      </c>
      <c r="D25" s="281">
        <v>269</v>
      </c>
      <c r="E25" s="282">
        <v>0</v>
      </c>
      <c r="F25" s="282">
        <v>0</v>
      </c>
      <c r="G25" s="282">
        <v>0</v>
      </c>
      <c r="H25" s="282">
        <v>3</v>
      </c>
      <c r="I25" s="282">
        <v>3</v>
      </c>
      <c r="J25" s="283">
        <v>0</v>
      </c>
      <c r="K25" s="283">
        <v>0</v>
      </c>
      <c r="L25" s="283">
        <v>0</v>
      </c>
      <c r="M25" s="283">
        <v>4447999</v>
      </c>
      <c r="N25" s="283">
        <v>4447999</v>
      </c>
    </row>
    <row r="26" spans="1:14" ht="25.5">
      <c r="A26" s="288">
        <v>14</v>
      </c>
      <c r="B26" s="285" t="s">
        <v>616</v>
      </c>
      <c r="C26" s="224">
        <v>923.3</v>
      </c>
      <c r="D26" s="226">
        <v>51</v>
      </c>
      <c r="E26" s="282">
        <v>0</v>
      </c>
      <c r="F26" s="282">
        <v>0</v>
      </c>
      <c r="G26" s="282">
        <v>0</v>
      </c>
      <c r="H26" s="225">
        <v>2</v>
      </c>
      <c r="I26" s="282">
        <v>2</v>
      </c>
      <c r="J26" s="283">
        <v>0</v>
      </c>
      <c r="K26" s="283">
        <v>0</v>
      </c>
      <c r="L26" s="283">
        <v>0</v>
      </c>
      <c r="M26" s="283">
        <v>1620675</v>
      </c>
      <c r="N26" s="283">
        <v>1620675</v>
      </c>
    </row>
    <row r="27" spans="1:14" ht="25.5">
      <c r="A27" s="288">
        <v>15</v>
      </c>
      <c r="B27" s="285" t="s">
        <v>617</v>
      </c>
      <c r="C27" s="280">
        <v>3146.8</v>
      </c>
      <c r="D27" s="281">
        <v>122</v>
      </c>
      <c r="E27" s="282">
        <v>0</v>
      </c>
      <c r="F27" s="282">
        <v>0</v>
      </c>
      <c r="G27" s="282">
        <v>0</v>
      </c>
      <c r="H27" s="282">
        <v>1</v>
      </c>
      <c r="I27" s="282">
        <v>1</v>
      </c>
      <c r="J27" s="283">
        <v>0</v>
      </c>
      <c r="K27" s="283">
        <v>0</v>
      </c>
      <c r="L27" s="283">
        <v>0</v>
      </c>
      <c r="M27" s="283">
        <v>1699514</v>
      </c>
      <c r="N27" s="283">
        <v>1699514</v>
      </c>
    </row>
    <row r="28" spans="1:14" ht="25.5">
      <c r="A28" s="288">
        <v>16</v>
      </c>
      <c r="B28" s="285" t="s">
        <v>618</v>
      </c>
      <c r="C28" s="280">
        <v>2472.8000000000002</v>
      </c>
      <c r="D28" s="281">
        <v>81</v>
      </c>
      <c r="E28" s="282">
        <v>0</v>
      </c>
      <c r="F28" s="282">
        <v>0</v>
      </c>
      <c r="G28" s="282">
        <v>0</v>
      </c>
      <c r="H28" s="282">
        <v>2</v>
      </c>
      <c r="I28" s="282">
        <v>2</v>
      </c>
      <c r="J28" s="283">
        <v>0</v>
      </c>
      <c r="K28" s="283">
        <v>0</v>
      </c>
      <c r="L28" s="283">
        <v>0</v>
      </c>
      <c r="M28" s="283">
        <v>1995924</v>
      </c>
      <c r="N28" s="283">
        <v>1995924</v>
      </c>
    </row>
    <row r="29" spans="1:14" ht="28.5" customHeight="1">
      <c r="A29" s="292">
        <v>17</v>
      </c>
      <c r="B29" s="285" t="s">
        <v>619</v>
      </c>
      <c r="C29" s="280">
        <v>5019.8999999999996</v>
      </c>
      <c r="D29" s="281">
        <v>196</v>
      </c>
      <c r="E29" s="282">
        <v>0</v>
      </c>
      <c r="F29" s="282">
        <v>0</v>
      </c>
      <c r="G29" s="282">
        <v>0</v>
      </c>
      <c r="H29" s="282">
        <v>1</v>
      </c>
      <c r="I29" s="282">
        <v>1</v>
      </c>
      <c r="J29" s="283">
        <v>0</v>
      </c>
      <c r="K29" s="283">
        <v>0</v>
      </c>
      <c r="L29" s="283">
        <v>0</v>
      </c>
      <c r="M29" s="283">
        <v>2445406</v>
      </c>
      <c r="N29" s="283">
        <v>2445406</v>
      </c>
    </row>
    <row r="30" spans="1:14">
      <c r="A30" s="288"/>
      <c r="B30" s="289" t="s">
        <v>51</v>
      </c>
      <c r="C30" s="280">
        <v>972.3</v>
      </c>
      <c r="D30" s="281">
        <v>27</v>
      </c>
      <c r="E30" s="282">
        <v>0</v>
      </c>
      <c r="F30" s="282">
        <v>0</v>
      </c>
      <c r="G30" s="282">
        <v>0</v>
      </c>
      <c r="H30" s="282">
        <v>2</v>
      </c>
      <c r="I30" s="282">
        <v>2</v>
      </c>
      <c r="J30" s="283">
        <v>0</v>
      </c>
      <c r="K30" s="283">
        <v>0</v>
      </c>
      <c r="L30" s="283">
        <v>0</v>
      </c>
      <c r="M30" s="283">
        <v>1628671</v>
      </c>
      <c r="N30" s="283">
        <v>1628671</v>
      </c>
    </row>
    <row r="31" spans="1:14" ht="25.5">
      <c r="A31" s="288">
        <v>18</v>
      </c>
      <c r="B31" s="285" t="s">
        <v>660</v>
      </c>
      <c r="C31" s="280">
        <v>972.3</v>
      </c>
      <c r="D31" s="281">
        <v>27</v>
      </c>
      <c r="E31" s="282">
        <v>0</v>
      </c>
      <c r="F31" s="282">
        <v>0</v>
      </c>
      <c r="G31" s="282">
        <v>0</v>
      </c>
      <c r="H31" s="282">
        <v>2</v>
      </c>
      <c r="I31" s="282">
        <v>2</v>
      </c>
      <c r="J31" s="283">
        <v>0</v>
      </c>
      <c r="K31" s="283">
        <v>0</v>
      </c>
      <c r="L31" s="283">
        <v>0</v>
      </c>
      <c r="M31" s="283">
        <v>1628671</v>
      </c>
      <c r="N31" s="283">
        <v>1628671</v>
      </c>
    </row>
    <row r="32" spans="1:14">
      <c r="A32" s="288"/>
      <c r="B32" s="289" t="s">
        <v>52</v>
      </c>
      <c r="C32" s="280">
        <v>3325.8</v>
      </c>
      <c r="D32" s="281">
        <v>111</v>
      </c>
      <c r="E32" s="282">
        <v>0</v>
      </c>
      <c r="F32" s="282">
        <v>0</v>
      </c>
      <c r="G32" s="282">
        <v>0</v>
      </c>
      <c r="H32" s="282">
        <v>4</v>
      </c>
      <c r="I32" s="282">
        <v>4</v>
      </c>
      <c r="J32" s="283">
        <v>0</v>
      </c>
      <c r="K32" s="283">
        <v>0</v>
      </c>
      <c r="L32" s="283">
        <v>0</v>
      </c>
      <c r="M32" s="283">
        <v>4056938</v>
      </c>
      <c r="N32" s="283">
        <v>4056938</v>
      </c>
    </row>
    <row r="33" spans="1:14" ht="25.5">
      <c r="A33" s="292">
        <v>19</v>
      </c>
      <c r="B33" s="285" t="s">
        <v>620</v>
      </c>
      <c r="C33" s="280">
        <v>3325.8</v>
      </c>
      <c r="D33" s="281">
        <v>111</v>
      </c>
      <c r="E33" s="282">
        <v>0</v>
      </c>
      <c r="F33" s="282">
        <v>0</v>
      </c>
      <c r="G33" s="282">
        <v>0</v>
      </c>
      <c r="H33" s="282">
        <v>4</v>
      </c>
      <c r="I33" s="282">
        <v>4</v>
      </c>
      <c r="J33" s="283">
        <v>0</v>
      </c>
      <c r="K33" s="283">
        <v>0</v>
      </c>
      <c r="L33" s="283">
        <v>0</v>
      </c>
      <c r="M33" s="283">
        <v>4056938</v>
      </c>
      <c r="N33" s="283">
        <v>4056938</v>
      </c>
    </row>
    <row r="34" spans="1:14" s="5" customFormat="1" ht="12.75">
      <c r="A34" s="288"/>
      <c r="B34" s="289" t="s">
        <v>53</v>
      </c>
      <c r="C34" s="280">
        <v>1384</v>
      </c>
      <c r="D34" s="281">
        <v>63</v>
      </c>
      <c r="E34" s="282">
        <v>0</v>
      </c>
      <c r="F34" s="282">
        <v>0</v>
      </c>
      <c r="G34" s="282">
        <v>0</v>
      </c>
      <c r="H34" s="282">
        <v>4</v>
      </c>
      <c r="I34" s="282">
        <v>4</v>
      </c>
      <c r="J34" s="283">
        <v>0</v>
      </c>
      <c r="K34" s="283">
        <v>0</v>
      </c>
      <c r="L34" s="283">
        <v>0</v>
      </c>
      <c r="M34" s="283">
        <v>3947863</v>
      </c>
      <c r="N34" s="283">
        <v>3947863</v>
      </c>
    </row>
    <row r="35" spans="1:14" ht="25.5">
      <c r="A35" s="292">
        <v>20</v>
      </c>
      <c r="B35" s="285" t="s">
        <v>119</v>
      </c>
      <c r="C35" s="280">
        <v>1118.5</v>
      </c>
      <c r="D35" s="281">
        <v>61</v>
      </c>
      <c r="E35" s="282">
        <v>0</v>
      </c>
      <c r="F35" s="282">
        <v>0</v>
      </c>
      <c r="G35" s="282">
        <v>0</v>
      </c>
      <c r="H35" s="282">
        <v>3</v>
      </c>
      <c r="I35" s="282">
        <v>3</v>
      </c>
      <c r="J35" s="283">
        <v>0</v>
      </c>
      <c r="K35" s="283">
        <v>0</v>
      </c>
      <c r="L35" s="283">
        <v>0</v>
      </c>
      <c r="M35" s="283">
        <v>3394024</v>
      </c>
      <c r="N35" s="283">
        <v>3394024</v>
      </c>
    </row>
    <row r="36" spans="1:14" ht="27" customHeight="1">
      <c r="A36" s="292">
        <v>21</v>
      </c>
      <c r="B36" s="285" t="s">
        <v>622</v>
      </c>
      <c r="C36" s="280">
        <v>265.5</v>
      </c>
      <c r="D36" s="281">
        <v>2</v>
      </c>
      <c r="E36" s="282">
        <v>0</v>
      </c>
      <c r="F36" s="282">
        <v>0</v>
      </c>
      <c r="G36" s="282">
        <v>0</v>
      </c>
      <c r="H36" s="282">
        <v>1</v>
      </c>
      <c r="I36" s="282">
        <v>1</v>
      </c>
      <c r="J36" s="283">
        <v>0</v>
      </c>
      <c r="K36" s="283">
        <v>0</v>
      </c>
      <c r="L36" s="283">
        <v>0</v>
      </c>
      <c r="M36" s="283">
        <v>553839</v>
      </c>
      <c r="N36" s="283">
        <v>553839</v>
      </c>
    </row>
    <row r="37" spans="1:14">
      <c r="A37" s="292"/>
      <c r="B37" s="289" t="s">
        <v>54</v>
      </c>
      <c r="C37" s="280">
        <v>5904.6</v>
      </c>
      <c r="D37" s="281">
        <v>328</v>
      </c>
      <c r="E37" s="282">
        <v>0</v>
      </c>
      <c r="F37" s="282">
        <v>0</v>
      </c>
      <c r="G37" s="282">
        <v>2</v>
      </c>
      <c r="H37" s="282">
        <v>5</v>
      </c>
      <c r="I37" s="282">
        <v>7</v>
      </c>
      <c r="J37" s="283">
        <v>0</v>
      </c>
      <c r="K37" s="283">
        <v>0</v>
      </c>
      <c r="L37" s="283">
        <v>1905804</v>
      </c>
      <c r="M37" s="283">
        <v>7043918</v>
      </c>
      <c r="N37" s="283">
        <v>8949722</v>
      </c>
    </row>
    <row r="38" spans="1:14" ht="25.5">
      <c r="A38" s="292">
        <v>22</v>
      </c>
      <c r="B38" s="285" t="s">
        <v>623</v>
      </c>
      <c r="C38" s="280">
        <v>1583.4</v>
      </c>
      <c r="D38" s="281">
        <v>72</v>
      </c>
      <c r="E38" s="282">
        <v>0</v>
      </c>
      <c r="F38" s="282">
        <v>0</v>
      </c>
      <c r="G38" s="282">
        <v>0</v>
      </c>
      <c r="H38" s="282">
        <v>2</v>
      </c>
      <c r="I38" s="282">
        <v>2</v>
      </c>
      <c r="J38" s="283">
        <v>0</v>
      </c>
      <c r="K38" s="283">
        <v>0</v>
      </c>
      <c r="L38" s="283">
        <v>0</v>
      </c>
      <c r="M38" s="283">
        <v>2562200</v>
      </c>
      <c r="N38" s="283">
        <v>2562200</v>
      </c>
    </row>
    <row r="39" spans="1:14" ht="25.5">
      <c r="A39" s="292">
        <v>23</v>
      </c>
      <c r="B39" s="285" t="s">
        <v>624</v>
      </c>
      <c r="C39" s="280">
        <v>1595.1</v>
      </c>
      <c r="D39" s="281">
        <v>87</v>
      </c>
      <c r="E39" s="282">
        <v>0</v>
      </c>
      <c r="F39" s="282">
        <v>0</v>
      </c>
      <c r="G39" s="282">
        <v>2</v>
      </c>
      <c r="H39" s="282">
        <v>0</v>
      </c>
      <c r="I39" s="282">
        <v>2</v>
      </c>
      <c r="J39" s="283">
        <v>0</v>
      </c>
      <c r="K39" s="283">
        <v>0</v>
      </c>
      <c r="L39" s="283">
        <v>1905804</v>
      </c>
      <c r="M39" s="283">
        <v>0</v>
      </c>
      <c r="N39" s="283">
        <v>1905804</v>
      </c>
    </row>
    <row r="40" spans="1:14" ht="25.5">
      <c r="A40" s="292">
        <v>24</v>
      </c>
      <c r="B40" s="285" t="s">
        <v>625</v>
      </c>
      <c r="C40" s="280">
        <v>506.9</v>
      </c>
      <c r="D40" s="281">
        <v>7</v>
      </c>
      <c r="E40" s="282">
        <v>0</v>
      </c>
      <c r="F40" s="282">
        <v>0</v>
      </c>
      <c r="G40" s="282">
        <v>0</v>
      </c>
      <c r="H40" s="282">
        <v>1</v>
      </c>
      <c r="I40" s="282">
        <v>1</v>
      </c>
      <c r="J40" s="283">
        <v>0</v>
      </c>
      <c r="K40" s="283">
        <v>0</v>
      </c>
      <c r="L40" s="283">
        <v>0</v>
      </c>
      <c r="M40" s="283">
        <v>820660</v>
      </c>
      <c r="N40" s="283">
        <v>820660</v>
      </c>
    </row>
    <row r="41" spans="1:14" ht="25.5">
      <c r="A41" s="292">
        <v>25</v>
      </c>
      <c r="B41" s="285" t="s">
        <v>626</v>
      </c>
      <c r="C41" s="280">
        <v>2219.1999999999998</v>
      </c>
      <c r="D41" s="281">
        <v>162</v>
      </c>
      <c r="E41" s="282">
        <v>0</v>
      </c>
      <c r="F41" s="282">
        <v>0</v>
      </c>
      <c r="G41" s="282">
        <v>0</v>
      </c>
      <c r="H41" s="282">
        <v>2</v>
      </c>
      <c r="I41" s="282">
        <v>2</v>
      </c>
      <c r="J41" s="283">
        <v>0</v>
      </c>
      <c r="K41" s="283">
        <v>0</v>
      </c>
      <c r="L41" s="283">
        <v>0</v>
      </c>
      <c r="M41" s="283">
        <v>3661058</v>
      </c>
      <c r="N41" s="283">
        <v>3661058</v>
      </c>
    </row>
    <row r="42" spans="1:14">
      <c r="A42" s="292"/>
      <c r="B42" s="289" t="s">
        <v>55</v>
      </c>
      <c r="C42" s="280">
        <v>14023.75</v>
      </c>
      <c r="D42" s="281">
        <v>584</v>
      </c>
      <c r="E42" s="282">
        <v>0</v>
      </c>
      <c r="F42" s="282">
        <v>0</v>
      </c>
      <c r="G42" s="282">
        <v>0</v>
      </c>
      <c r="H42" s="282">
        <v>10</v>
      </c>
      <c r="I42" s="282">
        <v>10</v>
      </c>
      <c r="J42" s="283">
        <v>0</v>
      </c>
      <c r="K42" s="283">
        <v>0</v>
      </c>
      <c r="L42" s="283">
        <v>0</v>
      </c>
      <c r="M42" s="283">
        <v>13937333</v>
      </c>
      <c r="N42" s="283">
        <v>13937333</v>
      </c>
    </row>
    <row r="43" spans="1:14" ht="25.5">
      <c r="A43" s="292">
        <v>26</v>
      </c>
      <c r="B43" s="285" t="s">
        <v>627</v>
      </c>
      <c r="C43" s="280">
        <v>14023.75</v>
      </c>
      <c r="D43" s="281">
        <v>584</v>
      </c>
      <c r="E43" s="282">
        <v>0</v>
      </c>
      <c r="F43" s="282">
        <v>0</v>
      </c>
      <c r="G43" s="282">
        <v>0</v>
      </c>
      <c r="H43" s="282">
        <v>10</v>
      </c>
      <c r="I43" s="282">
        <v>10</v>
      </c>
      <c r="J43" s="283">
        <v>0</v>
      </c>
      <c r="K43" s="283">
        <v>0</v>
      </c>
      <c r="L43" s="283">
        <v>0</v>
      </c>
      <c r="M43" s="283">
        <v>13937333</v>
      </c>
      <c r="N43" s="283">
        <v>13937333</v>
      </c>
    </row>
    <row r="44" spans="1:14">
      <c r="A44" s="292"/>
      <c r="B44" s="289" t="s">
        <v>56</v>
      </c>
      <c r="C44" s="280">
        <v>11683.700000000003</v>
      </c>
      <c r="D44" s="281">
        <v>406</v>
      </c>
      <c r="E44" s="282">
        <v>0</v>
      </c>
      <c r="F44" s="282">
        <v>0</v>
      </c>
      <c r="G44" s="282">
        <v>0</v>
      </c>
      <c r="H44" s="282">
        <v>14</v>
      </c>
      <c r="I44" s="282">
        <v>14</v>
      </c>
      <c r="J44" s="283">
        <v>0</v>
      </c>
      <c r="K44" s="283">
        <v>0</v>
      </c>
      <c r="L44" s="283">
        <v>0</v>
      </c>
      <c r="M44" s="283">
        <v>13321832</v>
      </c>
      <c r="N44" s="283">
        <v>13321832</v>
      </c>
    </row>
    <row r="45" spans="1:14" ht="25.5">
      <c r="A45" s="292">
        <v>27</v>
      </c>
      <c r="B45" s="285" t="s">
        <v>628</v>
      </c>
      <c r="C45" s="280">
        <v>11683.700000000003</v>
      </c>
      <c r="D45" s="281">
        <v>406</v>
      </c>
      <c r="E45" s="282">
        <v>0</v>
      </c>
      <c r="F45" s="282">
        <v>0</v>
      </c>
      <c r="G45" s="282">
        <v>0</v>
      </c>
      <c r="H45" s="282">
        <v>14</v>
      </c>
      <c r="I45" s="282">
        <v>14</v>
      </c>
      <c r="J45" s="283">
        <v>0</v>
      </c>
      <c r="K45" s="283">
        <v>0</v>
      </c>
      <c r="L45" s="283">
        <v>0</v>
      </c>
      <c r="M45" s="283">
        <v>13321832</v>
      </c>
      <c r="N45" s="283">
        <v>13321832</v>
      </c>
    </row>
    <row r="46" spans="1:14">
      <c r="A46" s="292"/>
      <c r="B46" s="289" t="s">
        <v>57</v>
      </c>
      <c r="C46" s="280">
        <v>5337.4</v>
      </c>
      <c r="D46" s="281">
        <v>186</v>
      </c>
      <c r="E46" s="282">
        <v>0</v>
      </c>
      <c r="F46" s="282">
        <v>0</v>
      </c>
      <c r="G46" s="282">
        <v>0</v>
      </c>
      <c r="H46" s="282">
        <v>4</v>
      </c>
      <c r="I46" s="282">
        <v>4</v>
      </c>
      <c r="J46" s="283">
        <v>0</v>
      </c>
      <c r="K46" s="283">
        <v>0</v>
      </c>
      <c r="L46" s="283">
        <v>0</v>
      </c>
      <c r="M46" s="283">
        <v>3908951</v>
      </c>
      <c r="N46" s="283">
        <v>3908951</v>
      </c>
    </row>
    <row r="47" spans="1:14" ht="38.25">
      <c r="A47" s="292">
        <v>28</v>
      </c>
      <c r="B47" s="285" t="s">
        <v>629</v>
      </c>
      <c r="C47" s="280">
        <v>3681.6</v>
      </c>
      <c r="D47" s="281">
        <v>121</v>
      </c>
      <c r="E47" s="282">
        <v>0</v>
      </c>
      <c r="F47" s="282">
        <v>0</v>
      </c>
      <c r="G47" s="282">
        <v>0</v>
      </c>
      <c r="H47" s="282">
        <v>2</v>
      </c>
      <c r="I47" s="282">
        <v>2</v>
      </c>
      <c r="J47" s="283">
        <v>0</v>
      </c>
      <c r="K47" s="283">
        <v>0</v>
      </c>
      <c r="L47" s="283">
        <v>0</v>
      </c>
      <c r="M47" s="283">
        <v>2616605</v>
      </c>
      <c r="N47" s="283">
        <v>2616605</v>
      </c>
    </row>
    <row r="48" spans="1:14" ht="25.5">
      <c r="A48" s="292">
        <v>29</v>
      </c>
      <c r="B48" s="285" t="s">
        <v>630</v>
      </c>
      <c r="C48" s="280">
        <v>799.3</v>
      </c>
      <c r="D48" s="281">
        <v>32</v>
      </c>
      <c r="E48" s="282">
        <v>0</v>
      </c>
      <c r="F48" s="282">
        <v>0</v>
      </c>
      <c r="G48" s="282">
        <v>0</v>
      </c>
      <c r="H48" s="282">
        <v>1</v>
      </c>
      <c r="I48" s="282">
        <v>1</v>
      </c>
      <c r="J48" s="283">
        <v>0</v>
      </c>
      <c r="K48" s="283">
        <v>0</v>
      </c>
      <c r="L48" s="283">
        <v>0</v>
      </c>
      <c r="M48" s="283">
        <v>201010</v>
      </c>
      <c r="N48" s="283">
        <v>201010</v>
      </c>
    </row>
    <row r="49" spans="1:14" ht="25.5">
      <c r="A49" s="292">
        <v>30</v>
      </c>
      <c r="B49" s="285" t="s">
        <v>631</v>
      </c>
      <c r="C49" s="280">
        <v>856.5</v>
      </c>
      <c r="D49" s="281">
        <v>33</v>
      </c>
      <c r="E49" s="282">
        <v>0</v>
      </c>
      <c r="F49" s="282">
        <v>0</v>
      </c>
      <c r="G49" s="282">
        <v>0</v>
      </c>
      <c r="H49" s="282">
        <v>1</v>
      </c>
      <c r="I49" s="282">
        <v>1</v>
      </c>
      <c r="J49" s="283">
        <v>0</v>
      </c>
      <c r="K49" s="283">
        <v>0</v>
      </c>
      <c r="L49" s="283">
        <v>0</v>
      </c>
      <c r="M49" s="283">
        <v>1091336</v>
      </c>
      <c r="N49" s="283">
        <v>1091336</v>
      </c>
    </row>
    <row r="50" spans="1:14">
      <c r="A50" s="292"/>
      <c r="B50" s="289" t="s">
        <v>58</v>
      </c>
      <c r="C50" s="280">
        <v>119585.60000000001</v>
      </c>
      <c r="D50" s="281">
        <v>3968</v>
      </c>
      <c r="E50" s="282">
        <v>0</v>
      </c>
      <c r="F50" s="282">
        <v>0</v>
      </c>
      <c r="G50" s="282">
        <v>0</v>
      </c>
      <c r="H50" s="282">
        <v>30</v>
      </c>
      <c r="I50" s="282">
        <v>30</v>
      </c>
      <c r="J50" s="283">
        <v>0</v>
      </c>
      <c r="K50" s="283">
        <v>0</v>
      </c>
      <c r="L50" s="283">
        <v>0</v>
      </c>
      <c r="M50" s="283">
        <v>51240898.530000001</v>
      </c>
      <c r="N50" s="283">
        <v>51240898.530000001</v>
      </c>
    </row>
    <row r="51" spans="1:14" ht="26.25" customHeight="1">
      <c r="A51" s="292">
        <v>31</v>
      </c>
      <c r="B51" s="285" t="s">
        <v>632</v>
      </c>
      <c r="C51" s="280">
        <v>88873.9</v>
      </c>
      <c r="D51" s="281">
        <v>2795</v>
      </c>
      <c r="E51" s="282">
        <v>0</v>
      </c>
      <c r="F51" s="282">
        <v>0</v>
      </c>
      <c r="G51" s="282">
        <v>0</v>
      </c>
      <c r="H51" s="282">
        <v>15</v>
      </c>
      <c r="I51" s="282">
        <v>15</v>
      </c>
      <c r="J51" s="283">
        <v>0</v>
      </c>
      <c r="K51" s="283">
        <v>0</v>
      </c>
      <c r="L51" s="283">
        <v>0</v>
      </c>
      <c r="M51" s="283">
        <v>31783841.640000001</v>
      </c>
      <c r="N51" s="283">
        <v>31783841.640000001</v>
      </c>
    </row>
    <row r="52" spans="1:14" ht="26.25" customHeight="1">
      <c r="A52" s="292">
        <v>32</v>
      </c>
      <c r="B52" s="285" t="s">
        <v>633</v>
      </c>
      <c r="C52" s="280">
        <v>4542</v>
      </c>
      <c r="D52" s="281">
        <v>177</v>
      </c>
      <c r="E52" s="282">
        <v>0</v>
      </c>
      <c r="F52" s="282">
        <v>0</v>
      </c>
      <c r="G52" s="282">
        <v>0</v>
      </c>
      <c r="H52" s="282">
        <v>1</v>
      </c>
      <c r="I52" s="282">
        <v>1</v>
      </c>
      <c r="J52" s="283">
        <v>0</v>
      </c>
      <c r="K52" s="283">
        <v>0</v>
      </c>
      <c r="L52" s="283">
        <v>0</v>
      </c>
      <c r="M52" s="283">
        <v>2543251</v>
      </c>
      <c r="N52" s="283">
        <v>2543251</v>
      </c>
    </row>
    <row r="53" spans="1:14" ht="26.25" customHeight="1">
      <c r="A53" s="292">
        <v>33</v>
      </c>
      <c r="B53" s="285" t="s">
        <v>120</v>
      </c>
      <c r="C53" s="280">
        <v>1452.3000000000002</v>
      </c>
      <c r="D53" s="281">
        <v>57</v>
      </c>
      <c r="E53" s="282">
        <v>0</v>
      </c>
      <c r="F53" s="282">
        <v>0</v>
      </c>
      <c r="G53" s="282">
        <v>0</v>
      </c>
      <c r="H53" s="282">
        <v>2</v>
      </c>
      <c r="I53" s="282">
        <v>2</v>
      </c>
      <c r="J53" s="283">
        <v>0</v>
      </c>
      <c r="K53" s="283">
        <v>0</v>
      </c>
      <c r="L53" s="283">
        <v>0</v>
      </c>
      <c r="M53" s="283">
        <v>1515535.13</v>
      </c>
      <c r="N53" s="283">
        <v>1515535.13</v>
      </c>
    </row>
    <row r="54" spans="1:14" ht="26.25" customHeight="1">
      <c r="A54" s="292">
        <v>34</v>
      </c>
      <c r="B54" s="285" t="s">
        <v>635</v>
      </c>
      <c r="C54" s="280">
        <v>20005.300000000003</v>
      </c>
      <c r="D54" s="281">
        <v>696</v>
      </c>
      <c r="E54" s="282">
        <v>0</v>
      </c>
      <c r="F54" s="282">
        <v>0</v>
      </c>
      <c r="G54" s="282">
        <v>0</v>
      </c>
      <c r="H54" s="282">
        <v>6</v>
      </c>
      <c r="I54" s="282">
        <v>6</v>
      </c>
      <c r="J54" s="283">
        <v>0</v>
      </c>
      <c r="K54" s="283">
        <v>0</v>
      </c>
      <c r="L54" s="283">
        <v>0</v>
      </c>
      <c r="M54" s="283">
        <v>10791172</v>
      </c>
      <c r="N54" s="283">
        <v>10791172</v>
      </c>
    </row>
    <row r="55" spans="1:14" ht="25.5">
      <c r="A55" s="292">
        <v>35</v>
      </c>
      <c r="B55" s="285" t="s">
        <v>636</v>
      </c>
      <c r="C55" s="280">
        <v>483</v>
      </c>
      <c r="D55" s="281">
        <v>30</v>
      </c>
      <c r="E55" s="282">
        <v>0</v>
      </c>
      <c r="F55" s="282">
        <v>0</v>
      </c>
      <c r="G55" s="282">
        <v>0</v>
      </c>
      <c r="H55" s="282">
        <v>1</v>
      </c>
      <c r="I55" s="282">
        <v>1</v>
      </c>
      <c r="J55" s="283">
        <v>0</v>
      </c>
      <c r="K55" s="283">
        <v>0</v>
      </c>
      <c r="L55" s="283">
        <v>0</v>
      </c>
      <c r="M55" s="283">
        <v>239451.84</v>
      </c>
      <c r="N55" s="283">
        <v>239451.84</v>
      </c>
    </row>
    <row r="56" spans="1:14" ht="27.75" customHeight="1">
      <c r="A56" s="292">
        <v>36</v>
      </c>
      <c r="B56" s="285" t="s">
        <v>637</v>
      </c>
      <c r="C56" s="280">
        <v>533.5</v>
      </c>
      <c r="D56" s="281">
        <v>54</v>
      </c>
      <c r="E56" s="282">
        <v>0</v>
      </c>
      <c r="F56" s="282">
        <v>0</v>
      </c>
      <c r="G56" s="282">
        <v>0</v>
      </c>
      <c r="H56" s="282">
        <v>1</v>
      </c>
      <c r="I56" s="282">
        <v>1</v>
      </c>
      <c r="J56" s="283">
        <v>0</v>
      </c>
      <c r="K56" s="283">
        <v>0</v>
      </c>
      <c r="L56" s="283">
        <v>0</v>
      </c>
      <c r="M56" s="283">
        <v>657835.92000000004</v>
      </c>
      <c r="N56" s="283">
        <v>657835.92000000004</v>
      </c>
    </row>
    <row r="57" spans="1:14" ht="27.75" customHeight="1">
      <c r="A57" s="292">
        <v>37</v>
      </c>
      <c r="B57" s="285" t="s">
        <v>638</v>
      </c>
      <c r="C57" s="280">
        <v>3695.6000000000004</v>
      </c>
      <c r="D57" s="281">
        <v>159</v>
      </c>
      <c r="E57" s="282">
        <v>0</v>
      </c>
      <c r="F57" s="282">
        <v>0</v>
      </c>
      <c r="G57" s="282">
        <v>0</v>
      </c>
      <c r="H57" s="282">
        <v>4</v>
      </c>
      <c r="I57" s="282">
        <v>4</v>
      </c>
      <c r="J57" s="283">
        <v>0</v>
      </c>
      <c r="K57" s="283">
        <v>0</v>
      </c>
      <c r="L57" s="283">
        <v>0</v>
      </c>
      <c r="M57" s="283">
        <v>3709811</v>
      </c>
      <c r="N57" s="283">
        <v>3709811</v>
      </c>
    </row>
    <row r="58" spans="1:14">
      <c r="A58" s="292"/>
      <c r="B58" s="289" t="s">
        <v>59</v>
      </c>
      <c r="C58" s="280">
        <v>1983</v>
      </c>
      <c r="D58" s="281">
        <v>80</v>
      </c>
      <c r="E58" s="282">
        <v>0</v>
      </c>
      <c r="F58" s="282">
        <v>0</v>
      </c>
      <c r="G58" s="282">
        <v>0</v>
      </c>
      <c r="H58" s="282">
        <v>3</v>
      </c>
      <c r="I58" s="282">
        <v>3</v>
      </c>
      <c r="J58" s="283">
        <v>0</v>
      </c>
      <c r="K58" s="283">
        <v>0</v>
      </c>
      <c r="L58" s="283">
        <v>0</v>
      </c>
      <c r="M58" s="283">
        <v>2222747</v>
      </c>
      <c r="N58" s="283">
        <v>2222747</v>
      </c>
    </row>
    <row r="59" spans="1:14" ht="25.5">
      <c r="A59" s="292">
        <v>38</v>
      </c>
      <c r="B59" s="285" t="s">
        <v>639</v>
      </c>
      <c r="C59" s="280">
        <v>1983</v>
      </c>
      <c r="D59" s="281">
        <v>80</v>
      </c>
      <c r="E59" s="282">
        <v>0</v>
      </c>
      <c r="F59" s="282">
        <v>0</v>
      </c>
      <c r="G59" s="282">
        <v>0</v>
      </c>
      <c r="H59" s="282">
        <v>3</v>
      </c>
      <c r="I59" s="282">
        <v>3</v>
      </c>
      <c r="J59" s="283">
        <v>0</v>
      </c>
      <c r="K59" s="283">
        <v>0</v>
      </c>
      <c r="L59" s="283">
        <v>0</v>
      </c>
      <c r="M59" s="283">
        <v>2222747</v>
      </c>
      <c r="N59" s="283">
        <v>2222747</v>
      </c>
    </row>
    <row r="60" spans="1:14">
      <c r="A60" s="292"/>
      <c r="B60" s="289" t="s">
        <v>60</v>
      </c>
      <c r="C60" s="280">
        <v>1457.1999999999998</v>
      </c>
      <c r="D60" s="281">
        <v>59</v>
      </c>
      <c r="E60" s="282">
        <v>0</v>
      </c>
      <c r="F60" s="282">
        <v>0</v>
      </c>
      <c r="G60" s="282">
        <v>0</v>
      </c>
      <c r="H60" s="282">
        <v>3</v>
      </c>
      <c r="I60" s="282">
        <v>3</v>
      </c>
      <c r="J60" s="283">
        <v>0</v>
      </c>
      <c r="K60" s="283">
        <v>0</v>
      </c>
      <c r="L60" s="283">
        <v>0</v>
      </c>
      <c r="M60" s="283">
        <v>3629800</v>
      </c>
      <c r="N60" s="283">
        <v>3629800</v>
      </c>
    </row>
    <row r="61" spans="1:14" ht="25.5">
      <c r="A61" s="292">
        <v>39</v>
      </c>
      <c r="B61" s="285" t="s">
        <v>640</v>
      </c>
      <c r="C61" s="280">
        <v>1457.1999999999998</v>
      </c>
      <c r="D61" s="281">
        <v>59</v>
      </c>
      <c r="E61" s="282">
        <v>0</v>
      </c>
      <c r="F61" s="282">
        <v>0</v>
      </c>
      <c r="G61" s="282">
        <v>0</v>
      </c>
      <c r="H61" s="282">
        <v>3</v>
      </c>
      <c r="I61" s="282">
        <v>3</v>
      </c>
      <c r="J61" s="283">
        <v>0</v>
      </c>
      <c r="K61" s="283">
        <v>0</v>
      </c>
      <c r="L61" s="283">
        <v>0</v>
      </c>
      <c r="M61" s="283">
        <v>3629800</v>
      </c>
      <c r="N61" s="283">
        <v>3629800</v>
      </c>
    </row>
    <row r="62" spans="1:14">
      <c r="A62" s="292"/>
      <c r="B62" s="289" t="s">
        <v>61</v>
      </c>
      <c r="C62" s="280">
        <v>32305.600000000006</v>
      </c>
      <c r="D62" s="281">
        <v>1116</v>
      </c>
      <c r="E62" s="282">
        <v>0</v>
      </c>
      <c r="F62" s="282">
        <v>0</v>
      </c>
      <c r="G62" s="282">
        <v>0</v>
      </c>
      <c r="H62" s="282">
        <v>12</v>
      </c>
      <c r="I62" s="282">
        <v>12</v>
      </c>
      <c r="J62" s="283">
        <v>0</v>
      </c>
      <c r="K62" s="283">
        <v>0</v>
      </c>
      <c r="L62" s="283">
        <v>0</v>
      </c>
      <c r="M62" s="283">
        <v>13352826.959999999</v>
      </c>
      <c r="N62" s="283">
        <v>13352826.959999999</v>
      </c>
    </row>
    <row r="63" spans="1:14" ht="25.5">
      <c r="A63" s="292">
        <v>40</v>
      </c>
      <c r="B63" s="285" t="s">
        <v>641</v>
      </c>
      <c r="C63" s="280">
        <v>26937.300000000003</v>
      </c>
      <c r="D63" s="281">
        <v>945</v>
      </c>
      <c r="E63" s="282">
        <v>0</v>
      </c>
      <c r="F63" s="282">
        <v>0</v>
      </c>
      <c r="G63" s="282">
        <v>0</v>
      </c>
      <c r="H63" s="282">
        <v>10</v>
      </c>
      <c r="I63" s="282">
        <v>10</v>
      </c>
      <c r="J63" s="283">
        <v>0</v>
      </c>
      <c r="K63" s="283">
        <v>0</v>
      </c>
      <c r="L63" s="283">
        <v>0</v>
      </c>
      <c r="M63" s="283">
        <v>11099781.93</v>
      </c>
      <c r="N63" s="283">
        <v>11099781.93</v>
      </c>
    </row>
    <row r="64" spans="1:14" ht="25.5">
      <c r="A64" s="292">
        <v>41</v>
      </c>
      <c r="B64" s="285" t="s">
        <v>642</v>
      </c>
      <c r="C64" s="280">
        <v>3972.9</v>
      </c>
      <c r="D64" s="281">
        <v>89</v>
      </c>
      <c r="E64" s="282">
        <v>0</v>
      </c>
      <c r="F64" s="282">
        <v>0</v>
      </c>
      <c r="G64" s="282">
        <v>0</v>
      </c>
      <c r="H64" s="282">
        <v>1</v>
      </c>
      <c r="I64" s="282">
        <v>1</v>
      </c>
      <c r="J64" s="283">
        <v>0</v>
      </c>
      <c r="K64" s="283">
        <v>0</v>
      </c>
      <c r="L64" s="283">
        <v>0</v>
      </c>
      <c r="M64" s="283">
        <v>2014469</v>
      </c>
      <c r="N64" s="283">
        <v>2014469</v>
      </c>
    </row>
    <row r="65" spans="1:14" ht="25.5">
      <c r="A65" s="292">
        <v>42</v>
      </c>
      <c r="B65" s="285" t="s">
        <v>643</v>
      </c>
      <c r="C65" s="280">
        <v>1395.4</v>
      </c>
      <c r="D65" s="281">
        <v>82</v>
      </c>
      <c r="E65" s="282">
        <v>0</v>
      </c>
      <c r="F65" s="282">
        <v>0</v>
      </c>
      <c r="G65" s="282">
        <v>0</v>
      </c>
      <c r="H65" s="282">
        <v>1</v>
      </c>
      <c r="I65" s="282">
        <v>1</v>
      </c>
      <c r="J65" s="283">
        <v>0</v>
      </c>
      <c r="K65" s="283">
        <v>0</v>
      </c>
      <c r="L65" s="283">
        <v>0</v>
      </c>
      <c r="M65" s="283">
        <v>238576.03</v>
      </c>
      <c r="N65" s="283">
        <v>238576.03</v>
      </c>
    </row>
    <row r="66" spans="1:14">
      <c r="A66" s="292"/>
      <c r="B66" s="289" t="s">
        <v>62</v>
      </c>
      <c r="C66" s="280">
        <v>5033.3999999999996</v>
      </c>
      <c r="D66" s="281">
        <v>159</v>
      </c>
      <c r="E66" s="282">
        <v>0</v>
      </c>
      <c r="F66" s="282">
        <v>0</v>
      </c>
      <c r="G66" s="282">
        <v>0</v>
      </c>
      <c r="H66" s="282">
        <v>2</v>
      </c>
      <c r="I66" s="282">
        <v>2</v>
      </c>
      <c r="J66" s="283">
        <v>0</v>
      </c>
      <c r="K66" s="283">
        <v>0</v>
      </c>
      <c r="L66" s="283">
        <v>0</v>
      </c>
      <c r="M66" s="283">
        <v>2349784.02</v>
      </c>
      <c r="N66" s="283">
        <v>2349784.02</v>
      </c>
    </row>
    <row r="67" spans="1:14" ht="25.5">
      <c r="A67" s="292">
        <v>43</v>
      </c>
      <c r="B67" s="285" t="s">
        <v>644</v>
      </c>
      <c r="C67" s="280">
        <v>5033.3999999999996</v>
      </c>
      <c r="D67" s="281">
        <v>159</v>
      </c>
      <c r="E67" s="282">
        <v>0</v>
      </c>
      <c r="F67" s="282">
        <v>0</v>
      </c>
      <c r="G67" s="282">
        <v>0</v>
      </c>
      <c r="H67" s="282">
        <v>2</v>
      </c>
      <c r="I67" s="282">
        <v>2</v>
      </c>
      <c r="J67" s="283">
        <v>0</v>
      </c>
      <c r="K67" s="283">
        <v>0</v>
      </c>
      <c r="L67" s="283">
        <v>0</v>
      </c>
      <c r="M67" s="283">
        <v>2349784.02</v>
      </c>
      <c r="N67" s="283">
        <v>2349784.02</v>
      </c>
    </row>
    <row r="68" spans="1:14">
      <c r="A68" s="292"/>
      <c r="B68" s="289" t="s">
        <v>63</v>
      </c>
      <c r="C68" s="280">
        <v>17371.800000000003</v>
      </c>
      <c r="D68" s="281">
        <v>538</v>
      </c>
      <c r="E68" s="282">
        <v>0</v>
      </c>
      <c r="F68" s="282">
        <v>0</v>
      </c>
      <c r="G68" s="282">
        <v>0</v>
      </c>
      <c r="H68" s="282">
        <v>10</v>
      </c>
      <c r="I68" s="282">
        <v>10</v>
      </c>
      <c r="J68" s="283">
        <v>0</v>
      </c>
      <c r="K68" s="283">
        <v>0</v>
      </c>
      <c r="L68" s="283">
        <v>0</v>
      </c>
      <c r="M68" s="283">
        <v>12228909</v>
      </c>
      <c r="N68" s="283">
        <v>12228909</v>
      </c>
    </row>
    <row r="69" spans="1:14" ht="27.75" customHeight="1">
      <c r="A69" s="292">
        <v>44</v>
      </c>
      <c r="B69" s="285" t="s">
        <v>645</v>
      </c>
      <c r="C69" s="280">
        <v>17371.800000000003</v>
      </c>
      <c r="D69" s="281">
        <v>538</v>
      </c>
      <c r="E69" s="282">
        <v>0</v>
      </c>
      <c r="F69" s="282">
        <v>0</v>
      </c>
      <c r="G69" s="282">
        <v>0</v>
      </c>
      <c r="H69" s="282">
        <v>10</v>
      </c>
      <c r="I69" s="282">
        <v>10</v>
      </c>
      <c r="J69" s="283">
        <v>0</v>
      </c>
      <c r="K69" s="283">
        <v>0</v>
      </c>
      <c r="L69" s="283">
        <v>0</v>
      </c>
      <c r="M69" s="283">
        <v>12228909</v>
      </c>
      <c r="N69" s="283">
        <v>12228909</v>
      </c>
    </row>
    <row r="70" spans="1:14">
      <c r="A70" s="292"/>
      <c r="B70" s="289" t="s">
        <v>64</v>
      </c>
      <c r="C70" s="280">
        <v>43562.700000000012</v>
      </c>
      <c r="D70" s="281">
        <v>1885</v>
      </c>
      <c r="E70" s="282">
        <v>0</v>
      </c>
      <c r="F70" s="282">
        <v>0</v>
      </c>
      <c r="G70" s="282">
        <v>0</v>
      </c>
      <c r="H70" s="282">
        <v>59</v>
      </c>
      <c r="I70" s="282">
        <v>59</v>
      </c>
      <c r="J70" s="283">
        <v>0</v>
      </c>
      <c r="K70" s="283">
        <v>0</v>
      </c>
      <c r="L70" s="283">
        <v>0</v>
      </c>
      <c r="M70" s="283">
        <v>5677313</v>
      </c>
      <c r="N70" s="283">
        <v>5677313</v>
      </c>
    </row>
    <row r="71" spans="1:14" ht="25.5">
      <c r="A71" s="292">
        <v>45</v>
      </c>
      <c r="B71" s="285" t="s">
        <v>657</v>
      </c>
      <c r="C71" s="280">
        <v>40440.30000000001</v>
      </c>
      <c r="D71" s="281">
        <v>1788</v>
      </c>
      <c r="E71" s="282">
        <v>0</v>
      </c>
      <c r="F71" s="282">
        <v>0</v>
      </c>
      <c r="G71" s="282">
        <v>0</v>
      </c>
      <c r="H71" s="282">
        <v>54</v>
      </c>
      <c r="I71" s="282">
        <v>54</v>
      </c>
      <c r="J71" s="283">
        <v>0</v>
      </c>
      <c r="K71" s="283">
        <v>0</v>
      </c>
      <c r="L71" s="283">
        <v>0</v>
      </c>
      <c r="M71" s="283">
        <v>4240489</v>
      </c>
      <c r="N71" s="283">
        <v>4240489</v>
      </c>
    </row>
    <row r="72" spans="1:14" ht="25.5">
      <c r="A72" s="292">
        <v>46</v>
      </c>
      <c r="B72" s="285" t="s">
        <v>658</v>
      </c>
      <c r="C72" s="280">
        <v>3122.4</v>
      </c>
      <c r="D72" s="281">
        <v>97</v>
      </c>
      <c r="E72" s="282">
        <v>0</v>
      </c>
      <c r="F72" s="282">
        <v>0</v>
      </c>
      <c r="G72" s="282">
        <v>0</v>
      </c>
      <c r="H72" s="282">
        <v>5</v>
      </c>
      <c r="I72" s="282">
        <v>5</v>
      </c>
      <c r="J72" s="283">
        <v>0</v>
      </c>
      <c r="K72" s="283">
        <v>0</v>
      </c>
      <c r="L72" s="283">
        <v>0</v>
      </c>
      <c r="M72" s="283">
        <v>1436824</v>
      </c>
      <c r="N72" s="283">
        <v>1436824</v>
      </c>
    </row>
    <row r="73" spans="1:14">
      <c r="A73" s="292"/>
      <c r="B73" s="289" t="s">
        <v>65</v>
      </c>
      <c r="C73" s="280">
        <v>10619.599999999999</v>
      </c>
      <c r="D73" s="281">
        <v>429</v>
      </c>
      <c r="E73" s="282">
        <v>0</v>
      </c>
      <c r="F73" s="282">
        <v>0</v>
      </c>
      <c r="G73" s="282">
        <v>4</v>
      </c>
      <c r="H73" s="282">
        <v>0</v>
      </c>
      <c r="I73" s="282">
        <v>4</v>
      </c>
      <c r="J73" s="283">
        <v>0</v>
      </c>
      <c r="K73" s="283">
        <v>0</v>
      </c>
      <c r="L73" s="283">
        <v>9462538</v>
      </c>
      <c r="M73" s="283">
        <v>0</v>
      </c>
      <c r="N73" s="283">
        <v>9462538</v>
      </c>
    </row>
    <row r="74" spans="1:14" ht="29.25" customHeight="1">
      <c r="A74" s="292">
        <v>47</v>
      </c>
      <c r="B74" s="285" t="s">
        <v>646</v>
      </c>
      <c r="C74" s="280">
        <v>10619.599999999999</v>
      </c>
      <c r="D74" s="281">
        <v>429</v>
      </c>
      <c r="E74" s="282">
        <v>0</v>
      </c>
      <c r="F74" s="282">
        <v>0</v>
      </c>
      <c r="G74" s="282">
        <v>4</v>
      </c>
      <c r="H74" s="282">
        <v>0</v>
      </c>
      <c r="I74" s="282">
        <v>4</v>
      </c>
      <c r="J74" s="283">
        <v>0</v>
      </c>
      <c r="K74" s="283">
        <v>0</v>
      </c>
      <c r="L74" s="283">
        <v>9462538</v>
      </c>
      <c r="M74" s="283">
        <v>0</v>
      </c>
      <c r="N74" s="283">
        <v>9462538</v>
      </c>
    </row>
    <row r="75" spans="1:14" ht="18.75" customHeight="1">
      <c r="A75" s="292"/>
      <c r="B75" s="285" t="s">
        <v>130</v>
      </c>
      <c r="C75" s="280">
        <v>338.3</v>
      </c>
      <c r="D75" s="281">
        <v>13</v>
      </c>
      <c r="E75" s="281">
        <v>0</v>
      </c>
      <c r="F75" s="281">
        <v>0</v>
      </c>
      <c r="G75" s="281">
        <v>0</v>
      </c>
      <c r="H75" s="281">
        <v>1</v>
      </c>
      <c r="I75" s="282">
        <v>1</v>
      </c>
      <c r="J75" s="283">
        <v>0</v>
      </c>
      <c r="K75" s="283">
        <v>0</v>
      </c>
      <c r="L75" s="283">
        <v>0</v>
      </c>
      <c r="M75" s="283">
        <v>562350</v>
      </c>
      <c r="N75" s="283">
        <v>562350</v>
      </c>
    </row>
    <row r="76" spans="1:14" ht="28.5" customHeight="1">
      <c r="A76" s="292">
        <v>48</v>
      </c>
      <c r="B76" s="285" t="s">
        <v>647</v>
      </c>
      <c r="C76" s="280">
        <v>338.3</v>
      </c>
      <c r="D76" s="281">
        <v>13</v>
      </c>
      <c r="E76" s="282">
        <v>0</v>
      </c>
      <c r="F76" s="282">
        <v>0</v>
      </c>
      <c r="G76" s="282">
        <v>0</v>
      </c>
      <c r="H76" s="282">
        <v>1</v>
      </c>
      <c r="I76" s="282">
        <v>1</v>
      </c>
      <c r="J76" s="283">
        <v>0</v>
      </c>
      <c r="K76" s="283">
        <v>0</v>
      </c>
      <c r="L76" s="283">
        <v>0</v>
      </c>
      <c r="M76" s="283">
        <v>562350</v>
      </c>
      <c r="N76" s="283">
        <v>562350</v>
      </c>
    </row>
    <row r="77" spans="1:14" s="18" customFormat="1" ht="12.75">
      <c r="A77" s="288"/>
      <c r="B77" s="289" t="s">
        <v>66</v>
      </c>
      <c r="C77" s="280">
        <v>1320.9</v>
      </c>
      <c r="D77" s="281">
        <v>59</v>
      </c>
      <c r="E77" s="282">
        <v>0</v>
      </c>
      <c r="F77" s="282">
        <v>0</v>
      </c>
      <c r="G77" s="282">
        <v>0</v>
      </c>
      <c r="H77" s="282">
        <v>1</v>
      </c>
      <c r="I77" s="282">
        <v>1</v>
      </c>
      <c r="J77" s="283">
        <v>0</v>
      </c>
      <c r="K77" s="283">
        <v>0</v>
      </c>
      <c r="L77" s="283">
        <v>0</v>
      </c>
      <c r="M77" s="283">
        <v>1267050</v>
      </c>
      <c r="N77" s="283">
        <v>1267050</v>
      </c>
    </row>
    <row r="78" spans="1:14" ht="25.5">
      <c r="A78" s="292">
        <v>49</v>
      </c>
      <c r="B78" s="285" t="s">
        <v>648</v>
      </c>
      <c r="C78" s="280">
        <v>1320.9</v>
      </c>
      <c r="D78" s="281">
        <v>59</v>
      </c>
      <c r="E78" s="282">
        <v>0</v>
      </c>
      <c r="F78" s="282">
        <v>0</v>
      </c>
      <c r="G78" s="282">
        <v>0</v>
      </c>
      <c r="H78" s="282">
        <v>1</v>
      </c>
      <c r="I78" s="282">
        <v>1</v>
      </c>
      <c r="J78" s="283">
        <v>0</v>
      </c>
      <c r="K78" s="283">
        <v>0</v>
      </c>
      <c r="L78" s="283">
        <v>0</v>
      </c>
      <c r="M78" s="283">
        <v>1267050</v>
      </c>
      <c r="N78" s="283">
        <v>1267050</v>
      </c>
    </row>
    <row r="79" spans="1:14">
      <c r="A79" s="292"/>
      <c r="B79" s="289" t="s">
        <v>67</v>
      </c>
      <c r="C79" s="280">
        <v>584.9</v>
      </c>
      <c r="D79" s="281">
        <v>22</v>
      </c>
      <c r="E79" s="282">
        <v>0</v>
      </c>
      <c r="F79" s="282">
        <v>0</v>
      </c>
      <c r="G79" s="282">
        <v>0</v>
      </c>
      <c r="H79" s="282">
        <v>1</v>
      </c>
      <c r="I79" s="282">
        <v>1</v>
      </c>
      <c r="J79" s="283">
        <v>0</v>
      </c>
      <c r="K79" s="283">
        <v>0</v>
      </c>
      <c r="L79" s="283">
        <v>0</v>
      </c>
      <c r="M79" s="283">
        <v>974618</v>
      </c>
      <c r="N79" s="283">
        <v>974618</v>
      </c>
    </row>
    <row r="80" spans="1:14" ht="28.5" customHeight="1">
      <c r="A80" s="292">
        <v>50</v>
      </c>
      <c r="B80" s="285" t="s">
        <v>649</v>
      </c>
      <c r="C80" s="280">
        <v>584.9</v>
      </c>
      <c r="D80" s="281">
        <v>22</v>
      </c>
      <c r="E80" s="282">
        <v>0</v>
      </c>
      <c r="F80" s="282">
        <v>0</v>
      </c>
      <c r="G80" s="282">
        <v>0</v>
      </c>
      <c r="H80" s="282">
        <v>1</v>
      </c>
      <c r="I80" s="282">
        <v>1</v>
      </c>
      <c r="J80" s="283">
        <v>0</v>
      </c>
      <c r="K80" s="283">
        <v>0</v>
      </c>
      <c r="L80" s="283">
        <v>0</v>
      </c>
      <c r="M80" s="283">
        <v>974618</v>
      </c>
      <c r="N80" s="283">
        <v>974618</v>
      </c>
    </row>
    <row r="81" spans="1:14">
      <c r="A81" s="292"/>
      <c r="B81" s="289" t="s">
        <v>68</v>
      </c>
      <c r="C81" s="280">
        <v>6992.4</v>
      </c>
      <c r="D81" s="281">
        <v>230</v>
      </c>
      <c r="E81" s="282">
        <v>0</v>
      </c>
      <c r="F81" s="282">
        <v>0</v>
      </c>
      <c r="G81" s="282">
        <v>0</v>
      </c>
      <c r="H81" s="282">
        <v>2</v>
      </c>
      <c r="I81" s="282">
        <v>2</v>
      </c>
      <c r="J81" s="283">
        <v>0</v>
      </c>
      <c r="K81" s="283">
        <v>0</v>
      </c>
      <c r="L81" s="283">
        <v>0</v>
      </c>
      <c r="M81" s="283">
        <v>3327623.09</v>
      </c>
      <c r="N81" s="283">
        <v>3327623.09</v>
      </c>
    </row>
    <row r="82" spans="1:14" ht="25.5">
      <c r="A82" s="292">
        <v>51</v>
      </c>
      <c r="B82" s="285" t="s">
        <v>650</v>
      </c>
      <c r="C82" s="280">
        <v>6992.4</v>
      </c>
      <c r="D82" s="281">
        <v>230</v>
      </c>
      <c r="E82" s="282">
        <v>0</v>
      </c>
      <c r="F82" s="282">
        <v>0</v>
      </c>
      <c r="G82" s="282">
        <v>0</v>
      </c>
      <c r="H82" s="282">
        <v>2</v>
      </c>
      <c r="I82" s="282">
        <v>2</v>
      </c>
      <c r="J82" s="283">
        <v>0</v>
      </c>
      <c r="K82" s="283">
        <v>0</v>
      </c>
      <c r="L82" s="283">
        <v>0</v>
      </c>
      <c r="M82" s="283">
        <v>3327623.09</v>
      </c>
      <c r="N82" s="283">
        <v>3327623.09</v>
      </c>
    </row>
    <row r="83" spans="1:14">
      <c r="A83" s="292"/>
      <c r="B83" s="289" t="s">
        <v>69</v>
      </c>
      <c r="C83" s="280">
        <v>6768.4</v>
      </c>
      <c r="D83" s="281">
        <v>206</v>
      </c>
      <c r="E83" s="282">
        <v>0</v>
      </c>
      <c r="F83" s="282">
        <v>0</v>
      </c>
      <c r="G83" s="282">
        <v>0</v>
      </c>
      <c r="H83" s="282">
        <v>4</v>
      </c>
      <c r="I83" s="282">
        <v>4</v>
      </c>
      <c r="J83" s="283">
        <v>0</v>
      </c>
      <c r="K83" s="283">
        <v>0</v>
      </c>
      <c r="L83" s="283">
        <v>0</v>
      </c>
      <c r="M83" s="283">
        <v>6928539</v>
      </c>
      <c r="N83" s="283">
        <v>6928539</v>
      </c>
    </row>
    <row r="84" spans="1:14" ht="25.5">
      <c r="A84" s="292">
        <v>52</v>
      </c>
      <c r="B84" s="285" t="s">
        <v>651</v>
      </c>
      <c r="C84" s="280">
        <v>6768.4</v>
      </c>
      <c r="D84" s="281">
        <v>206</v>
      </c>
      <c r="E84" s="282">
        <v>0</v>
      </c>
      <c r="F84" s="282">
        <v>0</v>
      </c>
      <c r="G84" s="282">
        <v>0</v>
      </c>
      <c r="H84" s="282">
        <v>4</v>
      </c>
      <c r="I84" s="282">
        <v>4</v>
      </c>
      <c r="J84" s="283">
        <v>0</v>
      </c>
      <c r="K84" s="283">
        <v>0</v>
      </c>
      <c r="L84" s="283">
        <v>0</v>
      </c>
      <c r="M84" s="283">
        <v>6928539</v>
      </c>
      <c r="N84" s="283">
        <v>6928539</v>
      </c>
    </row>
    <row r="85" spans="1:14">
      <c r="A85" s="292"/>
      <c r="B85" s="289" t="s">
        <v>132</v>
      </c>
      <c r="C85" s="280">
        <v>1884.6</v>
      </c>
      <c r="D85" s="281">
        <v>70</v>
      </c>
      <c r="E85" s="282">
        <v>0</v>
      </c>
      <c r="F85" s="282">
        <v>0</v>
      </c>
      <c r="G85" s="282">
        <v>0</v>
      </c>
      <c r="H85" s="281">
        <v>2</v>
      </c>
      <c r="I85" s="282">
        <v>2</v>
      </c>
      <c r="J85" s="283">
        <v>0</v>
      </c>
      <c r="K85" s="283">
        <v>0</v>
      </c>
      <c r="L85" s="283">
        <v>0</v>
      </c>
      <c r="M85" s="283">
        <v>1917402</v>
      </c>
      <c r="N85" s="283">
        <v>1917402</v>
      </c>
    </row>
    <row r="86" spans="1:14" ht="29.25" customHeight="1">
      <c r="A86" s="292">
        <v>53</v>
      </c>
      <c r="B86" s="285" t="s">
        <v>652</v>
      </c>
      <c r="C86" s="280">
        <v>388.1</v>
      </c>
      <c r="D86" s="281">
        <v>13</v>
      </c>
      <c r="E86" s="282">
        <v>0</v>
      </c>
      <c r="F86" s="282">
        <v>0</v>
      </c>
      <c r="G86" s="282">
        <v>0</v>
      </c>
      <c r="H86" s="282">
        <v>1</v>
      </c>
      <c r="I86" s="282">
        <v>1</v>
      </c>
      <c r="J86" s="283">
        <v>0</v>
      </c>
      <c r="K86" s="283">
        <v>0</v>
      </c>
      <c r="L86" s="283">
        <v>0</v>
      </c>
      <c r="M86" s="283">
        <v>698989</v>
      </c>
      <c r="N86" s="283">
        <v>698989</v>
      </c>
    </row>
    <row r="87" spans="1:14" ht="27" customHeight="1">
      <c r="A87" s="292">
        <v>54</v>
      </c>
      <c r="B87" s="285" t="s">
        <v>653</v>
      </c>
      <c r="C87" s="280">
        <v>1496.5</v>
      </c>
      <c r="D87" s="281">
        <v>57</v>
      </c>
      <c r="E87" s="282">
        <v>0</v>
      </c>
      <c r="F87" s="282">
        <v>0</v>
      </c>
      <c r="G87" s="282">
        <v>0</v>
      </c>
      <c r="H87" s="282">
        <v>1</v>
      </c>
      <c r="I87" s="282">
        <v>1</v>
      </c>
      <c r="J87" s="283">
        <v>0</v>
      </c>
      <c r="K87" s="283">
        <v>0</v>
      </c>
      <c r="L87" s="283">
        <v>0</v>
      </c>
      <c r="M87" s="283">
        <v>1218413</v>
      </c>
      <c r="N87" s="283">
        <v>1218413</v>
      </c>
    </row>
    <row r="88" spans="1:14">
      <c r="A88" s="292"/>
      <c r="B88" s="289" t="s">
        <v>70</v>
      </c>
      <c r="C88" s="280">
        <v>2163.9</v>
      </c>
      <c r="D88" s="281">
        <v>78</v>
      </c>
      <c r="E88" s="282">
        <v>0</v>
      </c>
      <c r="F88" s="282">
        <v>0</v>
      </c>
      <c r="G88" s="282">
        <v>0</v>
      </c>
      <c r="H88" s="282">
        <v>3</v>
      </c>
      <c r="I88" s="282">
        <v>3</v>
      </c>
      <c r="J88" s="283">
        <v>0</v>
      </c>
      <c r="K88" s="283">
        <v>0</v>
      </c>
      <c r="L88" s="283">
        <v>0</v>
      </c>
      <c r="M88" s="283">
        <v>3203644.56</v>
      </c>
      <c r="N88" s="283">
        <v>3203644.56</v>
      </c>
    </row>
    <row r="89" spans="1:14" ht="25.5">
      <c r="A89" s="292">
        <v>55</v>
      </c>
      <c r="B89" s="285" t="s">
        <v>654</v>
      </c>
      <c r="C89" s="280">
        <v>2163.9</v>
      </c>
      <c r="D89" s="281">
        <v>78</v>
      </c>
      <c r="E89" s="282">
        <v>0</v>
      </c>
      <c r="F89" s="282">
        <v>0</v>
      </c>
      <c r="G89" s="282">
        <v>0</v>
      </c>
      <c r="H89" s="282">
        <v>3</v>
      </c>
      <c r="I89" s="282">
        <v>3</v>
      </c>
      <c r="J89" s="283">
        <v>0</v>
      </c>
      <c r="K89" s="283">
        <v>0</v>
      </c>
      <c r="L89" s="283">
        <v>0</v>
      </c>
      <c r="M89" s="283">
        <v>3203644.56</v>
      </c>
      <c r="N89" s="283">
        <v>3203644.56</v>
      </c>
    </row>
    <row r="90" spans="1:14">
      <c r="A90" s="292">
        <v>56</v>
      </c>
      <c r="B90" s="285" t="s">
        <v>128</v>
      </c>
      <c r="C90" s="280">
        <v>58417.33</v>
      </c>
      <c r="D90" s="281">
        <v>2304</v>
      </c>
      <c r="E90" s="281">
        <v>0</v>
      </c>
      <c r="F90" s="281">
        <v>0</v>
      </c>
      <c r="G90" s="281">
        <v>0</v>
      </c>
      <c r="H90" s="281">
        <v>11</v>
      </c>
      <c r="I90" s="282">
        <v>11</v>
      </c>
      <c r="J90" s="283">
        <v>0</v>
      </c>
      <c r="K90" s="283">
        <v>0</v>
      </c>
      <c r="L90" s="283">
        <v>0</v>
      </c>
      <c r="M90" s="283">
        <v>24105185</v>
      </c>
      <c r="N90" s="283">
        <v>24105185</v>
      </c>
    </row>
    <row r="91" spans="1:14">
      <c r="A91" s="288"/>
      <c r="B91" s="293" t="s">
        <v>71</v>
      </c>
      <c r="C91" s="280">
        <v>5335.8</v>
      </c>
      <c r="D91" s="281">
        <v>154</v>
      </c>
      <c r="E91" s="282">
        <v>0</v>
      </c>
      <c r="F91" s="282">
        <v>0</v>
      </c>
      <c r="G91" s="282">
        <v>1</v>
      </c>
      <c r="H91" s="282">
        <v>1</v>
      </c>
      <c r="I91" s="282">
        <v>2</v>
      </c>
      <c r="J91" s="283">
        <v>0</v>
      </c>
      <c r="K91" s="283">
        <v>0</v>
      </c>
      <c r="L91" s="283">
        <v>728197.07</v>
      </c>
      <c r="M91" s="283">
        <v>1778958</v>
      </c>
      <c r="N91" s="283">
        <v>2507155.0699999998</v>
      </c>
    </row>
    <row r="92" spans="1:14" ht="27" customHeight="1">
      <c r="A92" s="292">
        <v>57</v>
      </c>
      <c r="B92" s="291" t="s">
        <v>655</v>
      </c>
      <c r="C92" s="280">
        <v>1507.8</v>
      </c>
      <c r="D92" s="281">
        <v>62</v>
      </c>
      <c r="E92" s="282">
        <v>0</v>
      </c>
      <c r="F92" s="282">
        <v>0</v>
      </c>
      <c r="G92" s="282">
        <v>1</v>
      </c>
      <c r="H92" s="282">
        <v>0</v>
      </c>
      <c r="I92" s="282">
        <v>1</v>
      </c>
      <c r="J92" s="283">
        <v>0</v>
      </c>
      <c r="K92" s="283">
        <v>0</v>
      </c>
      <c r="L92" s="283">
        <v>728197.07</v>
      </c>
      <c r="M92" s="283">
        <v>0</v>
      </c>
      <c r="N92" s="283">
        <v>728197.07</v>
      </c>
    </row>
    <row r="93" spans="1:14" ht="41.25" customHeight="1">
      <c r="A93" s="292">
        <v>58</v>
      </c>
      <c r="B93" s="285" t="s">
        <v>656</v>
      </c>
      <c r="C93" s="280">
        <v>3828</v>
      </c>
      <c r="D93" s="281">
        <v>92</v>
      </c>
      <c r="E93" s="282">
        <v>0</v>
      </c>
      <c r="F93" s="282">
        <v>0</v>
      </c>
      <c r="G93" s="282">
        <v>0</v>
      </c>
      <c r="H93" s="282">
        <v>1</v>
      </c>
      <c r="I93" s="282">
        <v>1</v>
      </c>
      <c r="J93" s="283">
        <v>0</v>
      </c>
      <c r="K93" s="283">
        <v>0</v>
      </c>
      <c r="L93" s="283">
        <v>0</v>
      </c>
      <c r="M93" s="283">
        <v>1778958</v>
      </c>
      <c r="N93" s="283">
        <v>1778958</v>
      </c>
    </row>
  </sheetData>
  <autoFilter ref="A5:N93"/>
  <mergeCells count="7">
    <mergeCell ref="A1:N1"/>
    <mergeCell ref="A2:A4"/>
    <mergeCell ref="B2:B4"/>
    <mergeCell ref="C2:C3"/>
    <mergeCell ref="D2:D3"/>
    <mergeCell ref="E2:I2"/>
    <mergeCell ref="J2:N2"/>
  </mergeCells>
  <printOptions horizontalCentered="1"/>
  <pageMargins left="0.23622047244094491" right="0.23622047244094491" top="0.98425196850393704" bottom="0.39370078740157483" header="0.70866141732283472" footer="0.31496062992125984"/>
  <pageSetup paperSize="9" scale="84" firstPageNumber="36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часть 1</vt:lpstr>
      <vt:lpstr>часть 2</vt:lpstr>
      <vt:lpstr>часть 3</vt:lpstr>
      <vt:lpstr>'часть 1'!Заголовки_для_печати</vt:lpstr>
      <vt:lpstr>'часть 2'!Заголовки_для_печати</vt:lpstr>
      <vt:lpstr>'часть 3'!Заголовки_для_печати</vt:lpstr>
      <vt:lpstr>'часть 1'!Область_печати</vt:lpstr>
      <vt:lpstr>'часть 2'!Область_печати</vt:lpstr>
      <vt:lpstr>'часть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Максим Молочников</cp:lastModifiedBy>
  <cp:lastPrinted>2016-06-15T11:51:49Z</cp:lastPrinted>
  <dcterms:created xsi:type="dcterms:W3CDTF">2012-12-13T11:50:40Z</dcterms:created>
  <dcterms:modified xsi:type="dcterms:W3CDTF">2016-06-17T13:31:17Z</dcterms:modified>
</cp:coreProperties>
</file>