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<sst xmlns="http://schemas.openxmlformats.org/spreadsheetml/2006/main" count="226" uniqueCount="170">
  <si>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</si>
  <si>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</si>
  <si>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</si>
  <si>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</si>
  <si>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</si>
  <si>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</si>
  <si>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</si>
  <si>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</si>
  <si>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</si>
  <si>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</si>
  <si>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</si>
  <si>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</si>
  <si>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</si>
  <si>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</si>
  <si>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Ленинградское шоссе 20 на 17.10</t>
  </si>
  <si>
    <t>Общ. площ.,кв.м.</t>
  </si>
  <si>
    <t>Внутридомовое инженерное оборудование и технические устройства</t>
  </si>
  <si>
    <t>Визуальная проверка (осмотр) газового оборудования</t>
  </si>
  <si>
    <t>1 оборудование</t>
  </si>
  <si>
    <t>Проверка герметичности соединений и отключающих устройств</t>
  </si>
  <si>
    <t>1 соединение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</si>
  <si>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</si>
  <si>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</si>
  <si>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</si>
  <si>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</si>
  <si>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</si>
  <si>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</si>
  <si>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</si>
  <si>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</si>
  <si>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</si>
  <si>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</si>
  <si>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</si>
  <si>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</si>
  <si>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</si>
  <si>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</si>
  <si>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</si>
  <si>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</si>
  <si>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</si>
  <si>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</si>
  <si>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</si>
  <si>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</si>
  <si>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</si>
  <si>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</si>
  <si>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</si>
  <si>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</si>
  <si>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</si>
  <si>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</si>
  <si>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</si>
  <si>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</si>
  <si>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оборудованных газовыми плитами (в год для одной смены)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</si>
  <si>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</si>
  <si>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</si>
  <si>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</si>
  <si>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</si>
  <si>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Подметание лестничных площадок и маршей выше третьего этажа с предварительным их увлажнением (в доме без лифтов и мусоропровода)</t>
  </si>
  <si>
    <t>100 м2 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</si>
  <si>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</si>
  <si>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</si>
  <si>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</si>
  <si>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</si>
  <si>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</si>
  <si>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</si>
  <si>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Влажная протирка почтовых ящиков (с мылом)</t>
  </si>
  <si>
    <t>100 кв.м почтовых ящиков</t>
  </si>
  <si>
    <t>Влажная протирка оконных решеток  (с мылом)</t>
  </si>
  <si>
    <t>100 кв.м решеток</t>
  </si>
  <si>
    <t>Влажная протирка шкафов для электросчетчиков слаботочных устройств (с мылом)</t>
  </si>
  <si>
    <t>100 кв. м шкафов для электросчетчиков слаботочных устройств</t>
  </si>
  <si>
    <t>Влажная протирка перил лестниц (с мылом)</t>
  </si>
  <si>
    <t>100 кв.м. перил лестниц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</si>
  <si>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</si>
  <si>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</si>
  <si>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средней засоренности от листьев, сучьев, мусора</t>
  </si>
  <si>
    <t>100 000 кв.м. территории</t>
  </si>
  <si>
    <t>Стрижка газонов</t>
  </si>
  <si>
    <t>на 100 кв.м.</t>
  </si>
  <si>
    <t>Очистка урн от мусора</t>
  </si>
  <si>
    <t>на 100 урн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</si>
  <si>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</si>
  <si>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</si>
  <si>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</si>
  <si>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с обработкой противогололедными реагентами</t>
  </si>
  <si>
    <t>Очистка от наледи и льда крышек люков пожарных колодцев</t>
  </si>
  <si>
    <t>1 шт</t>
  </si>
  <si>
    <t>Сдвигание свежевыпавшего снега толщиной слоя свыше 2 см в валы или кучи трактором</t>
  </si>
  <si>
    <t>1000 м2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</si>
  <si>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</si>
  <si>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</si>
  <si>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</si>
  <si>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металлической решетки и приямка (в теплый период)</t>
  </si>
  <si>
    <t>1 приямок</t>
  </si>
  <si>
    <t>Дератизация чердаков и подвалов с применением готовой приманки</t>
  </si>
  <si>
    <t>1000 м2  обрабатываемых  помещений</t>
  </si>
  <si>
    <t>Дезинсекция  подвалов</t>
  </si>
  <si>
    <t>Механизированная погрузка твердых бытовых отходов в кузовные мусоровозы и разгрузка мусоровозов на полигоне ТБО</t>
  </si>
  <si>
    <t>100 куб.м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</si>
  <si>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</si>
  <si>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</si>
  <si>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</si>
  <si>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</si>
  <si>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</si>
  <si>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</si>
  <si>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</si>
  <si>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</si>
  <si>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</si>
  <si>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</si>
  <si>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</si>
  <si>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</si>
  <si>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</si>
  <si>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</si>
  <si>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</si>
  <si>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</si>
  <si>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Водитель автомобиля 4 разряда</t>
  </si>
  <si>
    <t>Грузчик 1 разряда</t>
  </si>
  <si>
    <t>Дворник 1 разряда</t>
  </si>
  <si>
    <t>Дезинфектор 3 разряда</t>
  </si>
  <si>
    <t>Каменщик 3 разряда</t>
  </si>
  <si>
    <t>Кровельщик по рулонным кровлям и по кровлям из штучных материалов 4 разряда</t>
  </si>
  <si>
    <t>Плотник 4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</si>
  <si>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</si>
  <si>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</si>
  <si>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</si>
  <si>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</si>
  <si>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</si>
  <si>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</si>
  <si>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4 разряда</t>
  </si>
  <si>
    <t>Столяр строительный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</si>
  <si>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</si>
  <si>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</si>
  <si>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</si>
  <si>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</si>
  <si>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</si>
  <si>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</si>
  <si>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Ветошь</t>
  </si>
  <si>
    <t>кг</t>
  </si>
  <si>
    <t>Вода водопроводная</t>
  </si>
  <si>
    <t>м3</t>
  </si>
  <si>
    <t>Готовая приманка</t>
  </si>
  <si>
    <t>Готовая смесь для уничтожения насекомых (порошок Абсолют Дуст)</t>
  </si>
  <si>
    <t>Клей ALT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</si>
  <si>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</si>
  <si>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</si>
  <si>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</si>
  <si>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</si>
  <si>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</si>
  <si>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</si>
  <si>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</si>
  <si>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шт.</t>
  </si>
  <si>
    <t>Пескосоляная смесь</t>
  </si>
  <si>
    <t>т</t>
  </si>
  <si>
    <t>Ткань мешочная</t>
  </si>
  <si>
    <t>10 м2</t>
  </si>
  <si>
    <t>Специнвентарь</t>
  </si>
  <si>
    <t>Ведро  оцинкованное, 12 л</t>
  </si>
  <si>
    <t xml:space="preserve">Веник обыкновенный </t>
  </si>
  <si>
    <t>Грабли</t>
  </si>
  <si>
    <t>Лом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</si>
  <si>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</si>
  <si>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</si>
  <si>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</si>
  <si>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</si>
  <si>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</si>
  <si>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</si>
  <si>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>Щетка д/пола 280 мм с черенком на резьбе 1,2 м.</t>
  </si>
  <si>
    <t>Машины/Механизмы</t>
  </si>
  <si>
    <t>Газонокосилка</t>
  </si>
  <si>
    <t>маш.-час</t>
  </si>
  <si>
    <t>Погрузка в мусоровоз 7,5-11 куб.м</t>
  </si>
  <si>
    <t>маш.-час.</t>
  </si>
  <si>
    <t>Трактор (до 100 л.с.)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</si>
</sst>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sz val="18"/>
      <color indexed="13"/>
      <name val="Calibri Light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tabSelected="1" workbookViewId="0" topLeftCell="B1">
      <selection activeCell="A2" sqref="A2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75" customHeight="1">
      <c r="B4" s="35" t="s">
        <v>14</v>
      </c>
      <c r="C4" s="36"/>
      <c r="D4" s="36"/>
      <c r="E4" s="36"/>
      <c r="F4" s="36"/>
      <c r="G4" s="37"/>
      <c r="H4" s="37"/>
      <c r="I4" s="37"/>
      <c r="J4" s="37"/>
      <c r="K4" s="37"/>
      <c r="L4" s="38" t="s">
        <v>15</v>
      </c>
      <c r="M4" s="38"/>
      <c r="N4" s="16">
        <v>7955</v>
      </c>
    </row>
    <row r="5" spans="2:14" ht="21.75" customHeight="1">
      <c r="B5" s="39" t="s">
        <v>16</v>
      </c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2"/>
    </row>
    <row r="6" spans="2:14" ht="12">
      <c r="B6" s="8">
        <v>1</v>
      </c>
      <c r="C6" s="6" t="s">
        <v>17</v>
      </c>
      <c r="D6" s="6" t="s">
        <v>18</v>
      </c>
      <c r="E6" s="10">
        <v>147</v>
      </c>
      <c r="F6" s="10">
        <v>1</v>
      </c>
      <c r="G6" s="13">
        <f>9.4585896*E6*F6</f>
        <v>1390.4126712</v>
      </c>
      <c r="H6" s="13">
        <f aca="true" t="shared" si="0" ref="H6:H21">0*E6*F6</f>
        <v>0</v>
      </c>
      <c r="I6" s="13">
        <f aca="true" t="shared" si="1" ref="I6:I26">0*E6*F6</f>
        <v>0</v>
      </c>
      <c r="J6" s="13">
        <f>9.0045772992*E6*F6</f>
        <v>1323.6728629824</v>
      </c>
      <c r="K6" s="13">
        <f>1.938632524416*E6*F6</f>
        <v>284.978981089152</v>
      </c>
      <c r="L6" s="13">
        <f>1.89171792*E6*F6</f>
        <v>278.08253424000003</v>
      </c>
      <c r="M6" s="13">
        <f aca="true" t="shared" si="2" ref="M6:M26">SUM(G6:L6)</f>
        <v>3277.147049511552</v>
      </c>
      <c r="N6" s="17">
        <f>IF(N4&gt;0,(M6/$N$4/12),0)</f>
        <v>0.03433005499174054</v>
      </c>
    </row>
    <row r="7" spans="2:14" ht="24">
      <c r="B7" s="9">
        <v>2</v>
      </c>
      <c r="C7" s="7" t="s">
        <v>19</v>
      </c>
      <c r="D7" s="7" t="s">
        <v>20</v>
      </c>
      <c r="E7" s="11">
        <v>1</v>
      </c>
      <c r="F7" s="11">
        <v>1</v>
      </c>
      <c r="G7" s="14">
        <f>13.4226435*E7*F7</f>
        <v>13.4226435</v>
      </c>
      <c r="H7" s="14">
        <f t="shared" si="0"/>
        <v>0</v>
      </c>
      <c r="I7" s="14">
        <f t="shared" si="1"/>
        <v>0</v>
      </c>
      <c r="J7" s="14">
        <f>12.778356612*E7*F7</f>
        <v>12.778356612</v>
      </c>
      <c r="K7" s="14">
        <f>2.75110501176*E7*F7</f>
        <v>2.75110501176</v>
      </c>
      <c r="L7" s="14">
        <f>2.6845287*E7*F7</f>
        <v>2.6845287</v>
      </c>
      <c r="M7" s="14">
        <f t="shared" si="2"/>
        <v>31.63663382376</v>
      </c>
      <c r="N7" s="18">
        <f>IF(N4&gt;0,(M7/$N$4/12),0)</f>
        <v>0.0003314124641081081</v>
      </c>
    </row>
    <row r="8" spans="2:14" ht="24">
      <c r="B8" s="9">
        <v>3</v>
      </c>
      <c r="C8" s="7" t="s">
        <v>21</v>
      </c>
      <c r="D8" s="7" t="s">
        <v>22</v>
      </c>
      <c r="E8" s="11">
        <v>11.544</v>
      </c>
      <c r="F8" s="11">
        <v>2</v>
      </c>
      <c r="G8" s="14">
        <f>81.7446942*E8*F8</f>
        <v>1887.3214996896</v>
      </c>
      <c r="H8" s="14">
        <f t="shared" si="0"/>
        <v>0</v>
      </c>
      <c r="I8" s="14">
        <f t="shared" si="1"/>
        <v>0</v>
      </c>
      <c r="J8" s="14">
        <f>77.8209488784*E8*F8</f>
        <v>1796.7300677044993</v>
      </c>
      <c r="K8" s="14">
        <f>16.754392523232*E8*F8</f>
        <v>386.8254145763804</v>
      </c>
      <c r="L8" s="14">
        <f>16.34893884*E8*F8</f>
        <v>377.46429993792</v>
      </c>
      <c r="M8" s="14">
        <f t="shared" si="2"/>
        <v>4448.3412819084</v>
      </c>
      <c r="N8" s="18">
        <f>IF(N4&gt;0,(M8/$N$4/12),0)</f>
        <v>0.0465990077719296</v>
      </c>
    </row>
    <row r="9" spans="2:14" ht="24">
      <c r="B9" s="9">
        <v>4</v>
      </c>
      <c r="C9" s="7" t="s">
        <v>23</v>
      </c>
      <c r="D9" s="7" t="s">
        <v>22</v>
      </c>
      <c r="E9" s="11">
        <v>4.204</v>
      </c>
      <c r="F9" s="11">
        <v>2</v>
      </c>
      <c r="G9" s="14">
        <f>651.8615358*E9*F9</f>
        <v>5480.851793006399</v>
      </c>
      <c r="H9" s="14">
        <f t="shared" si="0"/>
        <v>0</v>
      </c>
      <c r="I9" s="14">
        <f t="shared" si="1"/>
        <v>0</v>
      </c>
      <c r="J9" s="14">
        <f>620.5721820816*E9*F9</f>
        <v>5217.770906942093</v>
      </c>
      <c r="K9" s="14">
        <f>133.60554037757*E9*F9</f>
        <v>1123.3553834946085</v>
      </c>
      <c r="L9" s="14">
        <f>130.37230716*E9*F9</f>
        <v>1096.1703586012798</v>
      </c>
      <c r="M9" s="14">
        <f t="shared" si="2"/>
        <v>12918.14844204438</v>
      </c>
      <c r="N9" s="18">
        <f>IF(N4&gt;0,(M9/$N$4/12),0)</f>
        <v>0.1353252508070855</v>
      </c>
    </row>
    <row r="10" spans="2:14" ht="24">
      <c r="B10" s="9">
        <v>5</v>
      </c>
      <c r="C10" s="7" t="s">
        <v>24</v>
      </c>
      <c r="D10" s="7" t="s">
        <v>22</v>
      </c>
      <c r="E10" s="11">
        <v>1.911</v>
      </c>
      <c r="F10" s="11">
        <v>2</v>
      </c>
      <c r="G10" s="14">
        <f>2317.354452*E10*F10</f>
        <v>8856.928715544</v>
      </c>
      <c r="H10" s="14">
        <f t="shared" si="0"/>
        <v>0</v>
      </c>
      <c r="I10" s="14">
        <f t="shared" si="1"/>
        <v>0</v>
      </c>
      <c r="J10" s="14">
        <f>2206.121438304*E10*F10</f>
        <v>8431.796137197889</v>
      </c>
      <c r="K10" s="14">
        <f>474.96496848192*E10*F10</f>
        <v>1815.3161095378982</v>
      </c>
      <c r="L10" s="14">
        <f>463.4708904*E10*F10</f>
        <v>1771.3857431088</v>
      </c>
      <c r="M10" s="14">
        <f t="shared" si="2"/>
        <v>20875.42670538859</v>
      </c>
      <c r="N10" s="18">
        <f>IF(N4&gt;0,(M10/$N$4/12),0)</f>
        <v>0.21868245029738728</v>
      </c>
    </row>
    <row r="11" spans="2:14" ht="12">
      <c r="B11" s="9">
        <v>6</v>
      </c>
      <c r="C11" s="7" t="s">
        <v>25</v>
      </c>
      <c r="D11" s="7" t="s">
        <v>26</v>
      </c>
      <c r="E11" s="11">
        <v>4.6</v>
      </c>
      <c r="F11" s="11">
        <v>2</v>
      </c>
      <c r="G11" s="14">
        <f>323.9566938*E11*F11</f>
        <v>2980.40158296</v>
      </c>
      <c r="H11" s="14">
        <f t="shared" si="0"/>
        <v>0</v>
      </c>
      <c r="I11" s="14">
        <f t="shared" si="1"/>
        <v>0</v>
      </c>
      <c r="J11" s="14">
        <f>308.4067724976*E11*F11</f>
        <v>2837.3423069779196</v>
      </c>
      <c r="K11" s="14">
        <f>66.398163961248*E11*F11</f>
        <v>610.8631084434816</v>
      </c>
      <c r="L11" s="14">
        <f>64.79133876*E11*F11</f>
        <v>596.0803165919999</v>
      </c>
      <c r="M11" s="14">
        <f t="shared" si="2"/>
        <v>7024.687314973401</v>
      </c>
      <c r="N11" s="18">
        <f>IF(N4&gt;0,(M11/$N$4/12),0)</f>
        <v>0.07358775733263567</v>
      </c>
    </row>
    <row r="12" spans="2:14" ht="12">
      <c r="B12" s="9">
        <v>7</v>
      </c>
      <c r="C12" s="7" t="s">
        <v>27</v>
      </c>
      <c r="D12" s="7" t="s">
        <v>26</v>
      </c>
      <c r="E12" s="11">
        <v>0.74</v>
      </c>
      <c r="F12" s="11">
        <v>2</v>
      </c>
      <c r="G12" s="14">
        <f>264.8405088*E12*F12</f>
        <v>391.96395302400003</v>
      </c>
      <c r="H12" s="14">
        <f t="shared" si="0"/>
        <v>0</v>
      </c>
      <c r="I12" s="14">
        <f t="shared" si="1"/>
        <v>0</v>
      </c>
      <c r="J12" s="14">
        <f>252.1281643776*E12*F12</f>
        <v>373.149683278848</v>
      </c>
      <c r="K12" s="14">
        <f>54.281710683648*E12*F12</f>
        <v>80.33693181179903</v>
      </c>
      <c r="L12" s="14">
        <f>52.96810176*E12*F12</f>
        <v>78.3927906048</v>
      </c>
      <c r="M12" s="14">
        <f t="shared" si="2"/>
        <v>923.843358719447</v>
      </c>
      <c r="N12" s="18">
        <f>IF(N4&gt;0,(M12/$N$4/12),0)</f>
        <v>0.009677805978624</v>
      </c>
    </row>
    <row r="13" spans="2:14" ht="24">
      <c r="B13" s="9">
        <v>8</v>
      </c>
      <c r="C13" s="7" t="s">
        <v>28</v>
      </c>
      <c r="D13" s="7" t="s">
        <v>22</v>
      </c>
      <c r="E13" s="11">
        <v>1.911</v>
      </c>
      <c r="F13" s="11">
        <v>2</v>
      </c>
      <c r="G13" s="14">
        <f>945.85896*E13*F13</f>
        <v>3615.07294512</v>
      </c>
      <c r="H13" s="14">
        <f t="shared" si="0"/>
        <v>0</v>
      </c>
      <c r="I13" s="14">
        <f t="shared" si="1"/>
        <v>0</v>
      </c>
      <c r="J13" s="14">
        <f>900.45772992*E13*F13</f>
        <v>3441.54944375424</v>
      </c>
      <c r="K13" s="14">
        <f>193.8632524416*E13*F13</f>
        <v>740.9453508317952</v>
      </c>
      <c r="L13" s="14">
        <f>189.171792*E13*F13</f>
        <v>723.0145890240001</v>
      </c>
      <c r="M13" s="14">
        <f t="shared" si="2"/>
        <v>8520.582328730035</v>
      </c>
      <c r="N13" s="18">
        <f>IF(N4&gt;0,(M13/$N$4/12),0)</f>
        <v>0.08925814297852541</v>
      </c>
    </row>
    <row r="14" spans="2:14" ht="24">
      <c r="B14" s="9">
        <v>9</v>
      </c>
      <c r="C14" s="7" t="s">
        <v>29</v>
      </c>
      <c r="D14" s="7" t="s">
        <v>22</v>
      </c>
      <c r="E14" s="11">
        <v>0.05</v>
      </c>
      <c r="F14" s="11">
        <v>2</v>
      </c>
      <c r="G14" s="14">
        <f>709.39422*E14*F14</f>
        <v>70.93942200000001</v>
      </c>
      <c r="H14" s="14">
        <f t="shared" si="0"/>
        <v>0</v>
      </c>
      <c r="I14" s="14">
        <f t="shared" si="1"/>
        <v>0</v>
      </c>
      <c r="J14" s="14">
        <f>675.34329744*E14*F14</f>
        <v>67.534329744</v>
      </c>
      <c r="K14" s="14">
        <f>145.3974393312*E14*F14</f>
        <v>14.53974393312</v>
      </c>
      <c r="L14" s="14">
        <f>141.878844*E14*F14</f>
        <v>14.1878844</v>
      </c>
      <c r="M14" s="14">
        <f t="shared" si="2"/>
        <v>167.20138007712004</v>
      </c>
      <c r="N14" s="18">
        <f>IF(N4&gt;0,(M14/$N$4/12),0)</f>
        <v>0.0017515334179459463</v>
      </c>
    </row>
    <row r="15" spans="2:14" ht="12">
      <c r="B15" s="9">
        <v>10</v>
      </c>
      <c r="C15" s="7" t="s">
        <v>30</v>
      </c>
      <c r="D15" s="7" t="s">
        <v>31</v>
      </c>
      <c r="E15" s="11">
        <v>2.115</v>
      </c>
      <c r="F15" s="11">
        <v>2</v>
      </c>
      <c r="G15" s="14">
        <f>662.101272*E15*F15</f>
        <v>2800.68838056</v>
      </c>
      <c r="H15" s="14">
        <f t="shared" si="0"/>
        <v>0</v>
      </c>
      <c r="I15" s="14">
        <f t="shared" si="1"/>
        <v>0</v>
      </c>
      <c r="J15" s="14">
        <f>630.320410944*E15*F15</f>
        <v>2666.25533829312</v>
      </c>
      <c r="K15" s="14">
        <f>135.70427670912*E15*F15</f>
        <v>574.0290904795777</v>
      </c>
      <c r="L15" s="14">
        <f>132.4202544*E15*F15</f>
        <v>560.1376761120001</v>
      </c>
      <c r="M15" s="14">
        <f t="shared" si="2"/>
        <v>6601.110485444698</v>
      </c>
      <c r="N15" s="18">
        <f>IF(N4&gt;0,(M15/$N$4/12),0)</f>
        <v>0.06915053934050595</v>
      </c>
    </row>
    <row r="16" spans="2:14" ht="24">
      <c r="B16" s="9">
        <v>11</v>
      </c>
      <c r="C16" s="7" t="s">
        <v>32</v>
      </c>
      <c r="D16" s="7" t="s">
        <v>33</v>
      </c>
      <c r="E16" s="11">
        <v>1.47</v>
      </c>
      <c r="F16" s="11">
        <v>2</v>
      </c>
      <c r="G16" s="14">
        <f>14187.8844*E16*F16</f>
        <v>41712.380136</v>
      </c>
      <c r="H16" s="14">
        <f t="shared" si="0"/>
        <v>0</v>
      </c>
      <c r="I16" s="14">
        <f t="shared" si="1"/>
        <v>0</v>
      </c>
      <c r="J16" s="14">
        <f>13506.8659488*E16*F16</f>
        <v>39710.185889472</v>
      </c>
      <c r="K16" s="14">
        <f>2907.948786624*E16*F16</f>
        <v>8549.36943267456</v>
      </c>
      <c r="L16" s="14">
        <f>2837.57688*E16*F16</f>
        <v>8342.4760272</v>
      </c>
      <c r="M16" s="14">
        <f t="shared" si="2"/>
        <v>98314.41148534656</v>
      </c>
      <c r="N16" s="18">
        <f>IF(N4&gt;0,(M16/$N$4/12),0)</f>
        <v>1.0299016497522162</v>
      </c>
    </row>
    <row r="17" spans="2:14" ht="24">
      <c r="B17" s="9">
        <v>12</v>
      </c>
      <c r="C17" s="7" t="s">
        <v>34</v>
      </c>
      <c r="D17" s="7" t="s">
        <v>22</v>
      </c>
      <c r="E17" s="11">
        <v>7.955</v>
      </c>
      <c r="F17" s="11">
        <v>2</v>
      </c>
      <c r="G17" s="14">
        <f>880.327476*E17*F17</f>
        <v>14006.010143160001</v>
      </c>
      <c r="H17" s="14">
        <f t="shared" si="0"/>
        <v>0</v>
      </c>
      <c r="I17" s="14">
        <f t="shared" si="1"/>
        <v>0</v>
      </c>
      <c r="J17" s="14">
        <f>838.071757152*E17*F17</f>
        <v>13333.72165628832</v>
      </c>
      <c r="K17" s="14">
        <f>180.43191948096*E17*F17</f>
        <v>2870.671838942074</v>
      </c>
      <c r="L17" s="14">
        <f>176.0654952*E17*F17</f>
        <v>2801.202028632</v>
      </c>
      <c r="M17" s="14">
        <f t="shared" si="2"/>
        <v>33011.6056670224</v>
      </c>
      <c r="N17" s="18">
        <f>IF(N4&gt;0,(M17/$N$4/12),0)</f>
        <v>0.34581610797216006</v>
      </c>
    </row>
    <row r="18" spans="2:14" ht="24">
      <c r="B18" s="9">
        <v>13</v>
      </c>
      <c r="C18" s="7" t="s">
        <v>35</v>
      </c>
      <c r="D18" s="7" t="s">
        <v>22</v>
      </c>
      <c r="E18" s="11">
        <v>7.955</v>
      </c>
      <c r="F18" s="11">
        <v>3</v>
      </c>
      <c r="G18" s="14">
        <f>880.327476*E18*F18</f>
        <v>21009.01521474</v>
      </c>
      <c r="H18" s="14">
        <f t="shared" si="0"/>
        <v>0</v>
      </c>
      <c r="I18" s="14">
        <f t="shared" si="1"/>
        <v>0</v>
      </c>
      <c r="J18" s="14">
        <f>838.071757152*E18*F18</f>
        <v>20000.58248443248</v>
      </c>
      <c r="K18" s="14">
        <f>180.43191948096*E18*F18</f>
        <v>4306.00775841311</v>
      </c>
      <c r="L18" s="14">
        <f>176.0654952*E18*F18</f>
        <v>4201.8030429479995</v>
      </c>
      <c r="M18" s="14">
        <f t="shared" si="2"/>
        <v>49517.408500533595</v>
      </c>
      <c r="N18" s="18">
        <f>IF(N4&gt;0,(M18/$N$4/12),0)</f>
        <v>0.51872416195824</v>
      </c>
    </row>
    <row r="19" spans="2:14" ht="24">
      <c r="B19" s="9">
        <v>14</v>
      </c>
      <c r="C19" s="7" t="s">
        <v>36</v>
      </c>
      <c r="D19" s="7" t="s">
        <v>22</v>
      </c>
      <c r="E19" s="11">
        <v>7.955</v>
      </c>
      <c r="F19" s="11">
        <v>2</v>
      </c>
      <c r="G19" s="14">
        <f>880.327476*E19*F19</f>
        <v>14006.010143160001</v>
      </c>
      <c r="H19" s="14">
        <f t="shared" si="0"/>
        <v>0</v>
      </c>
      <c r="I19" s="14">
        <f t="shared" si="1"/>
        <v>0</v>
      </c>
      <c r="J19" s="14">
        <f>838.071757152*E19*F19</f>
        <v>13333.72165628832</v>
      </c>
      <c r="K19" s="14">
        <f>180.43191948096*E19*F19</f>
        <v>2870.671838942074</v>
      </c>
      <c r="L19" s="14">
        <f>176.0654952*E19*F19</f>
        <v>2801.202028632</v>
      </c>
      <c r="M19" s="14">
        <f t="shared" si="2"/>
        <v>33011.6056670224</v>
      </c>
      <c r="N19" s="18">
        <f>IF(N4&gt;0,(M19/$N$4/12),0)</f>
        <v>0.34581610797216006</v>
      </c>
    </row>
    <row r="20" spans="2:14" ht="24">
      <c r="B20" s="9">
        <v>15</v>
      </c>
      <c r="C20" s="7" t="s">
        <v>37</v>
      </c>
      <c r="D20" s="7" t="s">
        <v>38</v>
      </c>
      <c r="E20" s="11">
        <v>0.5</v>
      </c>
      <c r="F20" s="11">
        <v>2</v>
      </c>
      <c r="G20" s="14">
        <f>2128.18266*E20*F20</f>
        <v>2128.18266</v>
      </c>
      <c r="H20" s="14">
        <f t="shared" si="0"/>
        <v>0</v>
      </c>
      <c r="I20" s="14">
        <f t="shared" si="1"/>
        <v>0</v>
      </c>
      <c r="J20" s="14">
        <f>2026.02989232*E20*F20</f>
        <v>2026.02989232</v>
      </c>
      <c r="K20" s="14">
        <f>436.1923179936*E20*F20</f>
        <v>436.1923179936</v>
      </c>
      <c r="L20" s="14">
        <f>425.636532*E20*F20</f>
        <v>425.636532</v>
      </c>
      <c r="M20" s="14">
        <f t="shared" si="2"/>
        <v>5016.0414023136</v>
      </c>
      <c r="N20" s="18">
        <f>IF(N4&gt;0,(M20/$N$4/12),0)</f>
        <v>0.05254600253837838</v>
      </c>
    </row>
    <row r="21" spans="2:14" ht="12">
      <c r="B21" s="9">
        <v>16</v>
      </c>
      <c r="C21" s="7" t="s">
        <v>39</v>
      </c>
      <c r="D21" s="7" t="s">
        <v>40</v>
      </c>
      <c r="E21" s="11">
        <v>2</v>
      </c>
      <c r="F21" s="11">
        <v>2</v>
      </c>
      <c r="G21" s="14">
        <f>118.23237*E21*F21</f>
        <v>472.92948</v>
      </c>
      <c r="H21" s="14">
        <f t="shared" si="0"/>
        <v>0</v>
      </c>
      <c r="I21" s="14">
        <f t="shared" si="1"/>
        <v>0</v>
      </c>
      <c r="J21" s="14">
        <f>112.55721624*E21*F21</f>
        <v>450.22886496</v>
      </c>
      <c r="K21" s="14">
        <f>24.2329065552*E21*F21</f>
        <v>96.9316262208</v>
      </c>
      <c r="L21" s="14">
        <f>23.646474*E21*F21</f>
        <v>94.585896</v>
      </c>
      <c r="M21" s="14">
        <f t="shared" si="2"/>
        <v>1114.6758671808</v>
      </c>
      <c r="N21" s="18">
        <f>IF(N4&gt;0,(M21/$N$4/12),0)</f>
        <v>0.011676889452972973</v>
      </c>
    </row>
    <row r="22" spans="2:14" ht="12">
      <c r="B22" s="9">
        <v>17</v>
      </c>
      <c r="C22" s="7" t="s">
        <v>41</v>
      </c>
      <c r="D22" s="7" t="s">
        <v>42</v>
      </c>
      <c r="E22" s="11">
        <v>3.03</v>
      </c>
      <c r="F22" s="11">
        <v>2</v>
      </c>
      <c r="G22" s="14">
        <f>1048.0089*E22*F22</f>
        <v>6350.933934</v>
      </c>
      <c r="H22" s="14">
        <f>427.06268*E22*F22</f>
        <v>2587.9998407999997</v>
      </c>
      <c r="I22" s="14">
        <f t="shared" si="1"/>
        <v>0</v>
      </c>
      <c r="J22" s="14">
        <f>997.7044728*E22*F22</f>
        <v>6046.089105167999</v>
      </c>
      <c r="K22" s="14">
        <f>259.641485544*E22*F22</f>
        <v>1573.4274023966398</v>
      </c>
      <c r="L22" s="14">
        <f>209.60178*E22*F22</f>
        <v>1270.1867868</v>
      </c>
      <c r="M22" s="14">
        <f t="shared" si="2"/>
        <v>17828.63706916464</v>
      </c>
      <c r="N22" s="18">
        <f>IF(N4&gt;0,(M22/$N$4/12),0)</f>
        <v>0.18676552555169326</v>
      </c>
    </row>
    <row r="23" spans="2:14" ht="12">
      <c r="B23" s="9">
        <v>18</v>
      </c>
      <c r="C23" s="7" t="s">
        <v>43</v>
      </c>
      <c r="D23" s="7" t="s">
        <v>42</v>
      </c>
      <c r="E23" s="11">
        <v>3.03</v>
      </c>
      <c r="F23" s="11">
        <v>2</v>
      </c>
      <c r="G23" s="14">
        <f>419.20356*E23*F23</f>
        <v>2540.3735736</v>
      </c>
      <c r="H23" s="14">
        <f>0*E23*F23</f>
        <v>0</v>
      </c>
      <c r="I23" s="14">
        <f t="shared" si="1"/>
        <v>0</v>
      </c>
      <c r="J23" s="14">
        <f>399.08178912*E23*F23</f>
        <v>2418.4356420671998</v>
      </c>
      <c r="K23" s="14">
        <f>85.9199616576*E23*F23</f>
        <v>520.674967645056</v>
      </c>
      <c r="L23" s="14">
        <f>83.840712*E23*F23</f>
        <v>508.0747147199999</v>
      </c>
      <c r="M23" s="14">
        <f t="shared" si="2"/>
        <v>5987.5588980322555</v>
      </c>
      <c r="N23" s="18">
        <f>IF(N4&gt;0,(M23/$N$4/12),0)</f>
        <v>0.0627232233190054</v>
      </c>
    </row>
    <row r="24" spans="2:14" ht="12">
      <c r="B24" s="9">
        <v>19</v>
      </c>
      <c r="C24" s="7" t="s">
        <v>44</v>
      </c>
      <c r="D24" s="7" t="s">
        <v>45</v>
      </c>
      <c r="E24" s="11">
        <v>1</v>
      </c>
      <c r="F24" s="11">
        <v>2</v>
      </c>
      <c r="G24" s="14">
        <f>59.904400011784*E24*F24</f>
        <v>119.808800023568</v>
      </c>
      <c r="H24" s="14">
        <f>0*E24*F24</f>
        <v>0</v>
      </c>
      <c r="I24" s="14">
        <f t="shared" si="1"/>
        <v>0</v>
      </c>
      <c r="J24" s="14">
        <f>57.028988811219*E24*F24</f>
        <v>114.057977622438</v>
      </c>
      <c r="K24" s="14">
        <f>12.278005826415*E24*F24</f>
        <v>24.55601165283</v>
      </c>
      <c r="L24" s="14">
        <f>11.980880002357*E24*F24</f>
        <v>23.961760004714</v>
      </c>
      <c r="M24" s="14">
        <f t="shared" si="2"/>
        <v>282.38454930355</v>
      </c>
      <c r="N24" s="18">
        <f>IF(N4&gt;0,(M24/$N$4/12),0)</f>
        <v>0.002958145289163524</v>
      </c>
    </row>
    <row r="25" spans="2:14" ht="36">
      <c r="B25" s="9">
        <v>20</v>
      </c>
      <c r="C25" s="7" t="s">
        <v>46</v>
      </c>
      <c r="D25" s="7" t="s">
        <v>47</v>
      </c>
      <c r="E25" s="11">
        <v>1.746</v>
      </c>
      <c r="F25" s="11">
        <v>2</v>
      </c>
      <c r="G25" s="14">
        <f>945.85896*E25*F25</f>
        <v>3302.9394883200002</v>
      </c>
      <c r="H25" s="14">
        <f>0*E25*F25</f>
        <v>0</v>
      </c>
      <c r="I25" s="14">
        <f t="shared" si="1"/>
        <v>0</v>
      </c>
      <c r="J25" s="14">
        <f>900.45772992*E25*F25</f>
        <v>3144.39839288064</v>
      </c>
      <c r="K25" s="14">
        <f>193.8632524416*E25*F25</f>
        <v>676.9704775260672</v>
      </c>
      <c r="L25" s="14">
        <f>189.171792*E25*F25</f>
        <v>660.587897664</v>
      </c>
      <c r="M25" s="14">
        <f t="shared" si="2"/>
        <v>7784.896256390707</v>
      </c>
      <c r="N25" s="18">
        <f>IF(N4&gt;0,(M25/$N$4/12),0)</f>
        <v>0.08155139593956325</v>
      </c>
    </row>
    <row r="26" spans="2:14" ht="84">
      <c r="B26" s="9">
        <v>21</v>
      </c>
      <c r="C26" s="7" t="s">
        <v>48</v>
      </c>
      <c r="D26" s="7" t="s">
        <v>49</v>
      </c>
      <c r="E26" s="11">
        <v>7.955</v>
      </c>
      <c r="F26" s="11">
        <v>365</v>
      </c>
      <c r="G26" s="14">
        <f>2608.7680836*E26*F26</f>
        <v>7574753.788338871</v>
      </c>
      <c r="H26" s="14">
        <f>0*E26*F26</f>
        <v>0</v>
      </c>
      <c r="I26" s="14">
        <f t="shared" si="1"/>
        <v>0</v>
      </c>
      <c r="J26" s="14">
        <f>2483.5472155872*E26*F26</f>
        <v>7211165.606498605</v>
      </c>
      <c r="K26" s="14">
        <f>534.69310641466*E26*F26</f>
        <v>1552521.5364579465</v>
      </c>
      <c r="L26" s="14">
        <f>521.75361672*E26*F26</f>
        <v>1514950.7576677739</v>
      </c>
      <c r="M26" s="14">
        <f t="shared" si="2"/>
        <v>17853391.688963197</v>
      </c>
      <c r="N26" s="18">
        <f>IF(N4&gt;0,(M26/$N$4/12),0)</f>
        <v>187.02484484562328</v>
      </c>
    </row>
    <row r="27" spans="2:14" ht="19.5" customHeight="1">
      <c r="B27" s="43" t="s">
        <v>50</v>
      </c>
      <c r="C27" s="44"/>
      <c r="D27" s="44"/>
      <c r="E27" s="44"/>
      <c r="F27" s="44"/>
      <c r="G27" s="15">
        <f aca="true" t="shared" si="3" ref="G27:N27">SUM(G6:G26)</f>
        <v>7707890.375518478</v>
      </c>
      <c r="H27" s="15">
        <f t="shared" si="3"/>
        <v>2587.9998407999997</v>
      </c>
      <c r="I27" s="15">
        <f t="shared" si="3"/>
        <v>0</v>
      </c>
      <c r="J27" s="15">
        <f t="shared" si="3"/>
        <v>7337911.637493591</v>
      </c>
      <c r="K27" s="15">
        <f t="shared" si="3"/>
        <v>1580080.951349563</v>
      </c>
      <c r="L27" s="15">
        <f t="shared" si="3"/>
        <v>1541578.0751036953</v>
      </c>
      <c r="M27" s="15">
        <f t="shared" si="3"/>
        <v>18170049.03930613</v>
      </c>
      <c r="N27" s="19">
        <f t="shared" si="3"/>
        <v>190.3420180107493</v>
      </c>
    </row>
    <row r="28" spans="2:14" ht="21.75" customHeight="1">
      <c r="B28" s="39" t="s">
        <v>51</v>
      </c>
      <c r="C28" s="40"/>
      <c r="D28" s="40"/>
      <c r="E28" s="40"/>
      <c r="F28" s="40"/>
      <c r="G28" s="41"/>
      <c r="H28" s="41"/>
      <c r="I28" s="41"/>
      <c r="J28" s="41"/>
      <c r="K28" s="41"/>
      <c r="L28" s="41"/>
      <c r="M28" s="41"/>
      <c r="N28" s="42"/>
    </row>
    <row r="29" spans="2:14" ht="36">
      <c r="B29" s="8">
        <v>22</v>
      </c>
      <c r="C29" s="6" t="s">
        <v>52</v>
      </c>
      <c r="D29" s="6" t="s">
        <v>53</v>
      </c>
      <c r="E29" s="10">
        <v>7.404</v>
      </c>
      <c r="F29" s="10">
        <v>247</v>
      </c>
      <c r="G29" s="13">
        <f>188.49226515*E29*F29</f>
        <v>344712.39259913826</v>
      </c>
      <c r="H29" s="13">
        <f>0.544636*E29*F29</f>
        <v>996.023781168</v>
      </c>
      <c r="I29" s="13">
        <f aca="true" t="shared" si="4" ref="I29:I39">0*E29*F29</f>
        <v>0</v>
      </c>
      <c r="J29" s="13">
        <f>179.4446364228*E29*F29</f>
        <v>328166.19775437954</v>
      </c>
      <c r="K29" s="13">
        <f>38.690561445144*E29*F29</f>
        <v>70756.834484142</v>
      </c>
      <c r="L29" s="13">
        <f>37.69845303*E29*F29</f>
        <v>68942.47851982765</v>
      </c>
      <c r="M29" s="13">
        <f aca="true" t="shared" si="5" ref="M29:M52">SUM(G29:L29)</f>
        <v>813573.9271386554</v>
      </c>
      <c r="N29" s="17">
        <f>IF(N4&gt;0,(M29/$N$4/12),0)</f>
        <v>8.522668417543008</v>
      </c>
    </row>
    <row r="30" spans="2:14" ht="36">
      <c r="B30" s="9">
        <v>23</v>
      </c>
      <c r="C30" s="7" t="s">
        <v>54</v>
      </c>
      <c r="D30" s="7" t="s">
        <v>55</v>
      </c>
      <c r="E30" s="11">
        <v>7.404</v>
      </c>
      <c r="F30" s="11">
        <v>104</v>
      </c>
      <c r="G30" s="14">
        <f>143.8140375*E30*F30</f>
        <v>110739.10989960002</v>
      </c>
      <c r="H30" s="14">
        <f>0.4123028*E30*F30</f>
        <v>317.47975284480003</v>
      </c>
      <c r="I30" s="14">
        <f t="shared" si="4"/>
        <v>0</v>
      </c>
      <c r="J30" s="14">
        <f>136.9109637*E30*F30</f>
        <v>105423.6326244192</v>
      </c>
      <c r="K30" s="14">
        <f>29.51941692*E30*F30</f>
        <v>22730.423339070723</v>
      </c>
      <c r="L30" s="14">
        <f>28.7628075*E30*F30</f>
        <v>22147.82197992</v>
      </c>
      <c r="M30" s="14">
        <f t="shared" si="5"/>
        <v>261358.46759585475</v>
      </c>
      <c r="N30" s="18">
        <f>IF(N4&gt;0,(M30/$N$4/12),0)</f>
        <v>2.7378846385486564</v>
      </c>
    </row>
    <row r="31" spans="2:14" ht="24">
      <c r="B31" s="9">
        <v>24</v>
      </c>
      <c r="C31" s="7" t="s">
        <v>56</v>
      </c>
      <c r="D31" s="7" t="s">
        <v>57</v>
      </c>
      <c r="E31" s="11">
        <v>0.7</v>
      </c>
      <c r="F31" s="11">
        <v>1</v>
      </c>
      <c r="G31" s="14">
        <f>434.63798063917*E31*F31</f>
        <v>304.24658644741896</v>
      </c>
      <c r="H31" s="14">
        <f>35.75037651172*E31*F31</f>
        <v>25.025263558204</v>
      </c>
      <c r="I31" s="14">
        <f t="shared" si="4"/>
        <v>0</v>
      </c>
      <c r="J31" s="14">
        <f>413.77535756849*E31*F31</f>
        <v>289.642750297943</v>
      </c>
      <c r="K31" s="14">
        <f>92.837190045536*E31*F31</f>
        <v>64.9860330318752</v>
      </c>
      <c r="L31" s="14">
        <f>86.927596127835*E31*F31</f>
        <v>60.849317289484496</v>
      </c>
      <c r="M31" s="14">
        <f t="shared" si="5"/>
        <v>744.7499506249256</v>
      </c>
      <c r="N31" s="18">
        <f>IF(N4&gt;0,(M31/$N$4/12),0)</f>
        <v>0.007801696528649964</v>
      </c>
    </row>
    <row r="32" spans="2:14" ht="24">
      <c r="B32" s="9">
        <v>25</v>
      </c>
      <c r="C32" s="7" t="s">
        <v>58</v>
      </c>
      <c r="D32" s="7" t="s">
        <v>59</v>
      </c>
      <c r="E32" s="11">
        <v>0.37</v>
      </c>
      <c r="F32" s="11">
        <v>2</v>
      </c>
      <c r="G32" s="14">
        <f>437.83384686083*E32*F32</f>
        <v>323.9970466770142</v>
      </c>
      <c r="H32" s="14">
        <f>26.619266484*E32*F32</f>
        <v>19.69825719816</v>
      </c>
      <c r="I32" s="14">
        <f t="shared" si="4"/>
        <v>0</v>
      </c>
      <c r="J32" s="14">
        <f>416.81782221151*E32*F32</f>
        <v>308.4451884365174</v>
      </c>
      <c r="K32" s="14">
        <f>92.533448233415*E32*F32</f>
        <v>68.4747516927271</v>
      </c>
      <c r="L32" s="14">
        <f>87.566769372165*E32*F32</f>
        <v>64.7994093354021</v>
      </c>
      <c r="M32" s="14">
        <f t="shared" si="5"/>
        <v>785.4146533398207</v>
      </c>
      <c r="N32" s="18">
        <f>IF(N4&gt;0,(M32/$N$4/12),0)</f>
        <v>0.00822768335784434</v>
      </c>
    </row>
    <row r="33" spans="2:14" ht="24">
      <c r="B33" s="9">
        <v>26</v>
      </c>
      <c r="C33" s="7" t="s">
        <v>60</v>
      </c>
      <c r="D33" s="7" t="s">
        <v>61</v>
      </c>
      <c r="E33" s="11">
        <v>0.496</v>
      </c>
      <c r="F33" s="11">
        <v>2</v>
      </c>
      <c r="G33" s="14">
        <f>418.65864186083*E33*F33</f>
        <v>415.3093727259434</v>
      </c>
      <c r="H33" s="14">
        <f>26.6074915928*E33*F33</f>
        <v>26.3946316600576</v>
      </c>
      <c r="I33" s="14">
        <f t="shared" si="4"/>
        <v>0</v>
      </c>
      <c r="J33" s="14">
        <f>398.56302705151*E33*F33</f>
        <v>395.37452283509793</v>
      </c>
      <c r="K33" s="14">
        <f>88.602061853039*E33*F33</f>
        <v>87.89324535821468</v>
      </c>
      <c r="L33" s="14">
        <f>83.731728372165*E33*F33</f>
        <v>83.06187454518768</v>
      </c>
      <c r="M33" s="14">
        <f t="shared" si="5"/>
        <v>1008.0336471245014</v>
      </c>
      <c r="N33" s="18">
        <f>IF(N4&gt;0,(M33/$N$4/12),0)</f>
        <v>0.010559749079452141</v>
      </c>
    </row>
    <row r="34" spans="2:14" ht="24">
      <c r="B34" s="9">
        <v>27</v>
      </c>
      <c r="C34" s="7" t="s">
        <v>62</v>
      </c>
      <c r="D34" s="7" t="s">
        <v>63</v>
      </c>
      <c r="E34" s="11">
        <v>0.07</v>
      </c>
      <c r="F34" s="11">
        <v>1</v>
      </c>
      <c r="G34" s="14">
        <f>205.1746935*E34*F34</f>
        <v>14.362228545</v>
      </c>
      <c r="H34" s="14">
        <f>21.72528*E34*F34</f>
        <v>1.5207696000000002</v>
      </c>
      <c r="I34" s="14">
        <f t="shared" si="4"/>
        <v>0</v>
      </c>
      <c r="J34" s="14">
        <f>195.326308212*E34*F34</f>
        <v>13.67284157484</v>
      </c>
      <c r="K34" s="14">
        <f>44.33375957976*E34*F34</f>
        <v>3.1033631705832003</v>
      </c>
      <c r="L34" s="14">
        <f>41.0349387*E34*F34</f>
        <v>2.872445709</v>
      </c>
      <c r="M34" s="14">
        <f t="shared" si="5"/>
        <v>35.5316485994232</v>
      </c>
      <c r="N34" s="18">
        <f>IF(N4&gt;0,(M34/$N$4/12),0)</f>
        <v>0.0003722150492292395</v>
      </c>
    </row>
    <row r="35" spans="2:14" ht="12">
      <c r="B35" s="9">
        <v>28</v>
      </c>
      <c r="C35" s="7" t="s">
        <v>64</v>
      </c>
      <c r="D35" s="7" t="s">
        <v>65</v>
      </c>
      <c r="E35" s="11">
        <v>0</v>
      </c>
      <c r="F35" s="11">
        <v>1</v>
      </c>
      <c r="G35" s="14">
        <f>418.59472515*E35*F35</f>
        <v>0</v>
      </c>
      <c r="H35" s="14">
        <f>21.72528*E35*F35</f>
        <v>0</v>
      </c>
      <c r="I35" s="14">
        <f t="shared" si="4"/>
        <v>0</v>
      </c>
      <c r="J35" s="14">
        <f>398.5021783428*E35*F35</f>
        <v>0</v>
      </c>
      <c r="K35" s="14">
        <f>88.076329266744*E35*F35</f>
        <v>0</v>
      </c>
      <c r="L35" s="14">
        <f>83.71894503*E35*F35</f>
        <v>0</v>
      </c>
      <c r="M35" s="14">
        <f t="shared" si="5"/>
        <v>0</v>
      </c>
      <c r="N35" s="18">
        <f>IF(N4&gt;0,(M35/$N$4/12),0)</f>
        <v>0</v>
      </c>
    </row>
    <row r="36" spans="2:14" ht="60">
      <c r="B36" s="9">
        <v>29</v>
      </c>
      <c r="C36" s="7" t="s">
        <v>66</v>
      </c>
      <c r="D36" s="7" t="s">
        <v>67</v>
      </c>
      <c r="E36" s="11">
        <v>0.48</v>
      </c>
      <c r="F36" s="11">
        <v>1</v>
      </c>
      <c r="G36" s="14">
        <f>258.8652675*E36*F36</f>
        <v>124.2553284</v>
      </c>
      <c r="H36" s="14">
        <f>21.72528*E36*F36</f>
        <v>10.428134400000001</v>
      </c>
      <c r="I36" s="14">
        <f t="shared" si="4"/>
        <v>0</v>
      </c>
      <c r="J36" s="14">
        <f>246.43973466*E36*F36</f>
        <v>118.2910726368</v>
      </c>
      <c r="K36" s="14">
        <f>55.3381796268*E36*F36</f>
        <v>26.562326220863998</v>
      </c>
      <c r="L36" s="14">
        <f>51.7730535*E36*F36</f>
        <v>24.85106568</v>
      </c>
      <c r="M36" s="14">
        <f t="shared" si="5"/>
        <v>304.387927337664</v>
      </c>
      <c r="N36" s="18">
        <f>IF(N4&gt;0,(M36/$N$4/12),0)</f>
        <v>0.0031886436972309237</v>
      </c>
    </row>
    <row r="37" spans="2:14" ht="24">
      <c r="B37" s="9">
        <v>30</v>
      </c>
      <c r="C37" s="7" t="s">
        <v>68</v>
      </c>
      <c r="D37" s="7" t="s">
        <v>69</v>
      </c>
      <c r="E37" s="11">
        <v>0.016</v>
      </c>
      <c r="F37" s="11">
        <v>1</v>
      </c>
      <c r="G37" s="14">
        <f>348.988731*E37*F37</f>
        <v>5.583819696</v>
      </c>
      <c r="H37" s="14">
        <f>21.72528*E37*F37</f>
        <v>0.34760448000000005</v>
      </c>
      <c r="I37" s="14">
        <f t="shared" si="4"/>
        <v>0</v>
      </c>
      <c r="J37" s="14">
        <f>332.237271912*E37*F37</f>
        <v>5.315796350592</v>
      </c>
      <c r="K37" s="14">
        <f>73.80988470576*E37*F37</f>
        <v>1.18095815529216</v>
      </c>
      <c r="L37" s="14">
        <f>69.7977462*E37*F37</f>
        <v>1.1167639392000002</v>
      </c>
      <c r="M37" s="14">
        <f t="shared" si="5"/>
        <v>13.544942621084159</v>
      </c>
      <c r="N37" s="18">
        <f>IF(N4&gt;0,(M37/$N$4/12),0)</f>
        <v>0.00014189129081378755</v>
      </c>
    </row>
    <row r="38" spans="2:14" ht="24">
      <c r="B38" s="9">
        <v>31</v>
      </c>
      <c r="C38" s="7" t="s">
        <v>70</v>
      </c>
      <c r="D38" s="7" t="s">
        <v>71</v>
      </c>
      <c r="E38" s="11">
        <v>0.92</v>
      </c>
      <c r="F38" s="11">
        <v>156</v>
      </c>
      <c r="G38" s="14">
        <f>235.0509*E38*F38</f>
        <v>33734.505168</v>
      </c>
      <c r="H38" s="14">
        <f>3.44671492*E38*F38</f>
        <v>494.6725253184</v>
      </c>
      <c r="I38" s="14">
        <f t="shared" si="4"/>
        <v>0</v>
      </c>
      <c r="J38" s="14">
        <f>223.7684568*E38*F38</f>
        <v>32115.248919936002</v>
      </c>
      <c r="K38" s="14">
        <f>48.5379375306*E38*F38</f>
        <v>6966.164794391712</v>
      </c>
      <c r="L38" s="14">
        <f>47.01018*E38*F38</f>
        <v>6746.901033599999</v>
      </c>
      <c r="M38" s="14">
        <f t="shared" si="5"/>
        <v>80057.49244124611</v>
      </c>
      <c r="N38" s="18">
        <f>IF(N4&gt;0,(M38/$N$4/12),0)</f>
        <v>0.838649617025415</v>
      </c>
    </row>
    <row r="39" spans="2:14" ht="24">
      <c r="B39" s="9">
        <v>32</v>
      </c>
      <c r="C39" s="7" t="s">
        <v>72</v>
      </c>
      <c r="D39" s="7" t="s">
        <v>73</v>
      </c>
      <c r="E39" s="11">
        <v>0.027</v>
      </c>
      <c r="F39" s="11">
        <v>60</v>
      </c>
      <c r="G39" s="14">
        <f>206185.5891*E39*F39</f>
        <v>334020.654342</v>
      </c>
      <c r="H39" s="14">
        <f>812.46239424*E39*F39</f>
        <v>1316.1890786688</v>
      </c>
      <c r="I39" s="14">
        <f t="shared" si="4"/>
        <v>0</v>
      </c>
      <c r="J39" s="14">
        <f>196288.6808232*E39*F39</f>
        <v>317987.66293358395</v>
      </c>
      <c r="K39" s="14">
        <f>42345.106893331*E39*F39</f>
        <v>68599.07316719621</v>
      </c>
      <c r="L39" s="14">
        <f>41237.11782*E39*F39</f>
        <v>66804.1308684</v>
      </c>
      <c r="M39" s="14">
        <f t="shared" si="5"/>
        <v>788727.710389849</v>
      </c>
      <c r="N39" s="18">
        <f>IF(N4&gt;0,(M39/$N$4/12),0)</f>
        <v>8.26238959134558</v>
      </c>
    </row>
    <row r="40" spans="2:14" ht="12">
      <c r="B40" s="9">
        <v>33</v>
      </c>
      <c r="C40" s="7" t="s">
        <v>74</v>
      </c>
      <c r="D40" s="7" t="s">
        <v>75</v>
      </c>
      <c r="E40" s="11">
        <v>106.24</v>
      </c>
      <c r="F40" s="11">
        <v>2</v>
      </c>
      <c r="G40" s="14">
        <f>205.4097444*E40*F40</f>
        <v>43645.462490112</v>
      </c>
      <c r="H40" s="14">
        <f>29.5805968*E40*F40</f>
        <v>6285.285208064</v>
      </c>
      <c r="I40" s="14">
        <f>47.976075*E40*F40</f>
        <v>10193.956415999999</v>
      </c>
      <c r="J40" s="14">
        <f>195.5500766688*E40*F40</f>
        <v>41550.480290586616</v>
      </c>
      <c r="K40" s="14">
        <f>50.244231751224*E40*F40</f>
        <v>10675.894362500076</v>
      </c>
      <c r="L40" s="14">
        <f>41.08194888*E40*F40</f>
        <v>8729.092498022399</v>
      </c>
      <c r="M40" s="14">
        <f t="shared" si="5"/>
        <v>121080.17126528508</v>
      </c>
      <c r="N40" s="18">
        <f>IF(N4&gt;0,(M40/$N$4/12),0)</f>
        <v>1.2683864578387292</v>
      </c>
    </row>
    <row r="41" spans="2:14" ht="12">
      <c r="B41" s="9">
        <v>34</v>
      </c>
      <c r="C41" s="7" t="s">
        <v>76</v>
      </c>
      <c r="D41" s="7" t="s">
        <v>77</v>
      </c>
      <c r="E41" s="11">
        <v>0.1</v>
      </c>
      <c r="F41" s="11">
        <v>247</v>
      </c>
      <c r="G41" s="14">
        <f>1405.0035*E41*F41</f>
        <v>34703.58645</v>
      </c>
      <c r="H41" s="14">
        <f>5.5463619*E41*F41</f>
        <v>136.99513893</v>
      </c>
      <c r="I41" s="14">
        <f>0*E41*F41</f>
        <v>0</v>
      </c>
      <c r="J41" s="14">
        <f>1337.563332*E41*F41</f>
        <v>33037.8143004</v>
      </c>
      <c r="K41" s="14">
        <f>288.5518853595*E41*F41</f>
        <v>7127.23156837965</v>
      </c>
      <c r="L41" s="14">
        <f>281.0007*E41*F41</f>
        <v>6940.7172900000005</v>
      </c>
      <c r="M41" s="14">
        <f t="shared" si="5"/>
        <v>81946.34474770965</v>
      </c>
      <c r="N41" s="18">
        <f>IF(N4&gt;0,(M41/$N$4/12),0)</f>
        <v>0.858436462892412</v>
      </c>
    </row>
    <row r="42" spans="2:14" ht="36">
      <c r="B42" s="9">
        <v>35</v>
      </c>
      <c r="C42" s="7" t="s">
        <v>78</v>
      </c>
      <c r="D42" s="7" t="s">
        <v>79</v>
      </c>
      <c r="E42" s="11">
        <v>0.092</v>
      </c>
      <c r="F42" s="11">
        <v>91</v>
      </c>
      <c r="G42" s="14">
        <f>4123.1109*E42*F42</f>
        <v>34518.6844548</v>
      </c>
      <c r="H42" s="14">
        <f>70.124*E42*F42</f>
        <v>587.078128</v>
      </c>
      <c r="I42" s="14">
        <f>0*E42*F42</f>
        <v>0</v>
      </c>
      <c r="J42" s="14">
        <f>3925.2015768*E42*F42</f>
        <v>32861.787600969605</v>
      </c>
      <c r="K42" s="14">
        <f>852.435830064*E42*F42</f>
        <v>7136.5927692958085</v>
      </c>
      <c r="L42" s="14">
        <f>824.62218*E42*F42</f>
        <v>6903.736890959999</v>
      </c>
      <c r="M42" s="14">
        <f t="shared" si="5"/>
        <v>82007.87984402542</v>
      </c>
      <c r="N42" s="18">
        <f>IF(N4&gt;0,(M42/$N$4/12),0)</f>
        <v>0.859081079447155</v>
      </c>
    </row>
    <row r="43" spans="2:14" ht="36">
      <c r="B43" s="9">
        <v>36</v>
      </c>
      <c r="C43" s="7" t="s">
        <v>80</v>
      </c>
      <c r="D43" s="7" t="s">
        <v>79</v>
      </c>
      <c r="E43" s="11">
        <v>0.092</v>
      </c>
      <c r="F43" s="11">
        <v>30</v>
      </c>
      <c r="G43" s="14">
        <f>17968.1391*E43*F43</f>
        <v>49592.063916</v>
      </c>
      <c r="H43" s="14">
        <f>206.8*E43*F43</f>
        <v>570.768</v>
      </c>
      <c r="I43" s="14">
        <f>0*E43*F43</f>
        <v>0</v>
      </c>
      <c r="J43" s="14">
        <f>17105.6684232*E43*F43</f>
        <v>47211.644848031996</v>
      </c>
      <c r="K43" s="14">
        <f>3704.463789936*E43*F43</f>
        <v>10224.32006022336</v>
      </c>
      <c r="L43" s="14">
        <f>3593.62782*E43*F43</f>
        <v>9918.412783200001</v>
      </c>
      <c r="M43" s="14">
        <f t="shared" si="5"/>
        <v>117517.20960745536</v>
      </c>
      <c r="N43" s="18">
        <f>IF(N4&gt;0,(M43/$N$4/12),0)</f>
        <v>1.2310623256594946</v>
      </c>
    </row>
    <row r="44" spans="2:14" ht="36">
      <c r="B44" s="9">
        <v>37</v>
      </c>
      <c r="C44" s="7" t="s">
        <v>81</v>
      </c>
      <c r="D44" s="7" t="s">
        <v>79</v>
      </c>
      <c r="E44" s="11">
        <v>0.092</v>
      </c>
      <c r="F44" s="11">
        <v>60</v>
      </c>
      <c r="G44" s="14">
        <f>192930.8391*E44*F44</f>
        <v>1064978.2318320002</v>
      </c>
      <c r="H44" s="14">
        <f>48872.1416*E44*F44</f>
        <v>269774.221632</v>
      </c>
      <c r="I44" s="14">
        <f>0*E44*F44</f>
        <v>0</v>
      </c>
      <c r="J44" s="14">
        <f>183670.1588232*E44*F44</f>
        <v>1013859.276704064</v>
      </c>
      <c r="K44" s="14">
        <f>44674.679649936*E44*F44</f>
        <v>246604.2316676467</v>
      </c>
      <c r="L44" s="14">
        <f>38586.16782*E44*F44</f>
        <v>212995.6463664</v>
      </c>
      <c r="M44" s="14">
        <f t="shared" si="5"/>
        <v>2808211.608202111</v>
      </c>
      <c r="N44" s="18">
        <f>IF(N4&gt;0,(M44/$N$4/12),0)</f>
        <v>29.417678694763367</v>
      </c>
    </row>
    <row r="45" spans="2:14" ht="24">
      <c r="B45" s="9">
        <v>38</v>
      </c>
      <c r="C45" s="7" t="s">
        <v>82</v>
      </c>
      <c r="D45" s="7" t="s">
        <v>83</v>
      </c>
      <c r="E45" s="11">
        <v>8</v>
      </c>
      <c r="F45" s="11">
        <v>60</v>
      </c>
      <c r="G45" s="14">
        <f>21.2076*E45*F45</f>
        <v>10179.648</v>
      </c>
      <c r="H45" s="14">
        <f>0*E45*F45</f>
        <v>0</v>
      </c>
      <c r="I45" s="14">
        <f>0*E45*F45</f>
        <v>0</v>
      </c>
      <c r="J45" s="14">
        <f>20.1896352*E45*F45</f>
        <v>9691.024896</v>
      </c>
      <c r="K45" s="14">
        <f>4.346709696*E45*F45</f>
        <v>2086.4206540799996</v>
      </c>
      <c r="L45" s="14">
        <f>4.24152*E45*F45</f>
        <v>2035.9296000000002</v>
      </c>
      <c r="M45" s="14">
        <f t="shared" si="5"/>
        <v>23993.02315008</v>
      </c>
      <c r="N45" s="18">
        <f>IF(N4&gt;0,(M45/$N$4/12),0)</f>
        <v>0.2513411182702703</v>
      </c>
    </row>
    <row r="46" spans="2:14" ht="24">
      <c r="B46" s="9">
        <v>39</v>
      </c>
      <c r="C46" s="7" t="s">
        <v>84</v>
      </c>
      <c r="D46" s="7" t="s">
        <v>85</v>
      </c>
      <c r="E46" s="11">
        <v>0.92</v>
      </c>
      <c r="F46" s="11">
        <v>10</v>
      </c>
      <c r="G46" s="14">
        <f>0*E46*F46</f>
        <v>0</v>
      </c>
      <c r="H46" s="14">
        <f>0*E46*F46</f>
        <v>0</v>
      </c>
      <c r="I46" s="14">
        <f>67.104587*E46*F46</f>
        <v>617.3622004</v>
      </c>
      <c r="J46" s="14">
        <f>24.15324912*E46*F46</f>
        <v>222.20989190400002</v>
      </c>
      <c r="K46" s="14">
        <f>9.5820727926*E46*F46</f>
        <v>88.15506969192</v>
      </c>
      <c r="L46" s="14">
        <f>5.074212*E46*F46</f>
        <v>46.6827504</v>
      </c>
      <c r="M46" s="14">
        <f t="shared" si="5"/>
        <v>974.4099123959202</v>
      </c>
      <c r="N46" s="18">
        <f>IF(N4&gt;0,(M46/$N$4/12),0)</f>
        <v>0.010207520557258749</v>
      </c>
    </row>
    <row r="47" spans="2:14" ht="24">
      <c r="B47" s="9">
        <v>40</v>
      </c>
      <c r="C47" s="7" t="s">
        <v>86</v>
      </c>
      <c r="D47" s="7" t="s">
        <v>87</v>
      </c>
      <c r="E47" s="11">
        <v>0.45</v>
      </c>
      <c r="F47" s="11">
        <v>126</v>
      </c>
      <c r="G47" s="14">
        <f>243.8874*E47*F47</f>
        <v>13828.415580000003</v>
      </c>
      <c r="H47" s="14">
        <f>0.698608*E47*F47</f>
        <v>39.611073600000005</v>
      </c>
      <c r="I47" s="14">
        <f>0*E47*F47</f>
        <v>0</v>
      </c>
      <c r="J47" s="14">
        <f>232.1808048*E47*F47</f>
        <v>13164.651632160001</v>
      </c>
      <c r="K47" s="14">
        <f>50.060515344*E47*F47</f>
        <v>2838.4312200048003</v>
      </c>
      <c r="L47" s="14">
        <f>48.77748*E47*F47</f>
        <v>2765.683116</v>
      </c>
      <c r="M47" s="14">
        <f t="shared" si="5"/>
        <v>32636.792621764806</v>
      </c>
      <c r="N47" s="18">
        <f>IF(N4&gt;0,(M47/$N$4/12),0)</f>
        <v>0.3418897194821371</v>
      </c>
    </row>
    <row r="48" spans="2:14" ht="24">
      <c r="B48" s="9">
        <v>41</v>
      </c>
      <c r="C48" s="7" t="s">
        <v>88</v>
      </c>
      <c r="D48" s="7" t="s">
        <v>87</v>
      </c>
      <c r="E48" s="11">
        <v>0.45</v>
      </c>
      <c r="F48" s="11">
        <v>126</v>
      </c>
      <c r="G48" s="14">
        <f>45.06615*E48*F48</f>
        <v>2555.2507050000004</v>
      </c>
      <c r="H48" s="14">
        <f>0.344671492*E48*F48</f>
        <v>19.542873596400003</v>
      </c>
      <c r="I48" s="14">
        <f>0*E48*F48</f>
        <v>0</v>
      </c>
      <c r="J48" s="14">
        <f>42.9029748*E48*F48</f>
        <v>2432.5986711600003</v>
      </c>
      <c r="K48" s="14">
        <f>9.27294861066*E48*F48</f>
        <v>525.776186224422</v>
      </c>
      <c r="L48" s="14">
        <f>9.01323*E48*F48</f>
        <v>511.05014100000005</v>
      </c>
      <c r="M48" s="14">
        <f t="shared" si="5"/>
        <v>6044.218576980822</v>
      </c>
      <c r="N48" s="18">
        <f>IF(N4&gt;0,(M48/$N$4/12),0)</f>
        <v>0.06331676699120911</v>
      </c>
    </row>
    <row r="49" spans="2:14" ht="24">
      <c r="B49" s="9">
        <v>42</v>
      </c>
      <c r="C49" s="7" t="s">
        <v>89</v>
      </c>
      <c r="D49" s="7" t="s">
        <v>90</v>
      </c>
      <c r="E49" s="11">
        <v>10</v>
      </c>
      <c r="F49" s="11">
        <v>126</v>
      </c>
      <c r="G49" s="14">
        <f>92.42979*E49*F49</f>
        <v>116461.53540000001</v>
      </c>
      <c r="H49" s="14">
        <f>0.30200978*E49*F49</f>
        <v>380.53232280000003</v>
      </c>
      <c r="I49" s="14">
        <f>0*E49*F49</f>
        <v>0</v>
      </c>
      <c r="J49" s="14">
        <f>87.99316008*E49*F49</f>
        <v>110871.38170079999</v>
      </c>
      <c r="K49" s="14">
        <f>18.9761207853*E49*F49</f>
        <v>23909.912189478</v>
      </c>
      <c r="L49" s="14">
        <f>18.485958*E49*F49</f>
        <v>23292.30708</v>
      </c>
      <c r="M49" s="14">
        <f t="shared" si="5"/>
        <v>274915.668693078</v>
      </c>
      <c r="N49" s="18">
        <f>IF(N4&gt;0,(M49/$N$4/12),0)</f>
        <v>2.8799043441554364</v>
      </c>
    </row>
    <row r="50" spans="2:14" ht="36">
      <c r="B50" s="9">
        <v>43</v>
      </c>
      <c r="C50" s="7" t="s">
        <v>91</v>
      </c>
      <c r="D50" s="7" t="s">
        <v>92</v>
      </c>
      <c r="E50" s="11">
        <v>1.746</v>
      </c>
      <c r="F50" s="11">
        <v>1</v>
      </c>
      <c r="G50" s="14">
        <f>303.922581*E50*F50</f>
        <v>530.6488264259999</v>
      </c>
      <c r="H50" s="14">
        <f>203.7730496*E50*F50</f>
        <v>355.7877446016</v>
      </c>
      <c r="I50" s="14">
        <f>0*E50*F50</f>
        <v>0</v>
      </c>
      <c r="J50" s="14">
        <f>289.334297112*E50*F50</f>
        <v>505.177682757552</v>
      </c>
      <c r="K50" s="14">
        <f>83.68814240976*E50*F50</f>
        <v>146.11949664744097</v>
      </c>
      <c r="L50" s="14">
        <f>60.7845162*E50*F50</f>
        <v>106.1297652852</v>
      </c>
      <c r="M50" s="14">
        <f t="shared" si="5"/>
        <v>1643.8635157177928</v>
      </c>
      <c r="N50" s="18">
        <f>IF(N4&gt;0,(M50/$N$4/12),0)</f>
        <v>0.017220443282189322</v>
      </c>
    </row>
    <row r="51" spans="2:14" ht="36">
      <c r="B51" s="9">
        <v>44</v>
      </c>
      <c r="C51" s="7" t="s">
        <v>93</v>
      </c>
      <c r="D51" s="7" t="s">
        <v>92</v>
      </c>
      <c r="E51" s="11">
        <v>1.746</v>
      </c>
      <c r="F51" s="11">
        <v>2</v>
      </c>
      <c r="G51" s="14">
        <f>836.3111022*E51*F51</f>
        <v>2920.3983688824</v>
      </c>
      <c r="H51" s="14">
        <f>272.224*E51*F51</f>
        <v>950.6062079999999</v>
      </c>
      <c r="I51" s="14">
        <f>0*E51*F51</f>
        <v>0</v>
      </c>
      <c r="J51" s="14">
        <f>796.1681692944*E51*F51</f>
        <v>2780.2192471760445</v>
      </c>
      <c r="K51" s="14">
        <f>199.99384350691*E51*F51</f>
        <v>698.3785015261298</v>
      </c>
      <c r="L51" s="14">
        <f>167.26222044*E51*F51</f>
        <v>584.0796737764799</v>
      </c>
      <c r="M51" s="14">
        <f t="shared" si="5"/>
        <v>7933.681999361055</v>
      </c>
      <c r="N51" s="18">
        <f>IF(N4&gt;0,(M51/$N$4/12),0)</f>
        <v>0.0831100146591353</v>
      </c>
    </row>
    <row r="52" spans="2:14" ht="36">
      <c r="B52" s="9">
        <v>45</v>
      </c>
      <c r="C52" s="7" t="s">
        <v>94</v>
      </c>
      <c r="D52" s="7" t="s">
        <v>95</v>
      </c>
      <c r="E52" s="11">
        <v>1</v>
      </c>
      <c r="F52" s="11">
        <v>1</v>
      </c>
      <c r="G52" s="14">
        <f>2731.63042614*E52*F52</f>
        <v>2731.63042614</v>
      </c>
      <c r="H52" s="14">
        <f>0*E52*F52</f>
        <v>0</v>
      </c>
      <c r="I52" s="14">
        <f>4412.749946*E52*F52</f>
        <v>4412.749946</v>
      </c>
      <c r="J52" s="14">
        <f>3456.5711374533*E52*F52</f>
        <v>3456.5711374533</v>
      </c>
      <c r="K52" s="14">
        <f>1113.0999085073*E52*F52</f>
        <v>1113.0999085073</v>
      </c>
      <c r="L52" s="14">
        <f>726.170407028*E52*F52</f>
        <v>726.170407028</v>
      </c>
      <c r="M52" s="14">
        <f t="shared" si="5"/>
        <v>12440.2218251286</v>
      </c>
      <c r="N52" s="18">
        <f>IF(N4&gt;0,(M52/$N$4/12),0)</f>
        <v>0.13031868662401633</v>
      </c>
    </row>
    <row r="53" spans="2:14" ht="12.75">
      <c r="B53" s="43" t="s">
        <v>50</v>
      </c>
      <c r="C53" s="44"/>
      <c r="D53" s="44"/>
      <c r="E53" s="44"/>
      <c r="F53" s="44"/>
      <c r="G53" s="15">
        <f aca="true" t="shared" si="6" ref="G53:N53">SUM(G29:G52)</f>
        <v>2201039.9728405904</v>
      </c>
      <c r="H53" s="15">
        <f t="shared" si="6"/>
        <v>282308.20812848845</v>
      </c>
      <c r="I53" s="15">
        <f t="shared" si="6"/>
        <v>15224.0685624</v>
      </c>
      <c r="J53" s="15">
        <f t="shared" si="6"/>
        <v>2096468.3230079135</v>
      </c>
      <c r="K53" s="15">
        <f t="shared" si="6"/>
        <v>482479.2601166359</v>
      </c>
      <c r="L53" s="15">
        <f t="shared" si="6"/>
        <v>440434.521640318</v>
      </c>
      <c r="M53" s="15">
        <f t="shared" si="6"/>
        <v>5517954.354296345</v>
      </c>
      <c r="N53" s="19">
        <f t="shared" si="6"/>
        <v>57.80383777808869</v>
      </c>
    </row>
    <row r="54" spans="2:14" ht="27.75" customHeight="1">
      <c r="B54" s="45" t="s">
        <v>96</v>
      </c>
      <c r="C54" s="46"/>
      <c r="D54" s="46"/>
      <c r="E54" s="46"/>
      <c r="F54" s="46"/>
      <c r="G54" s="20">
        <f aca="true" t="shared" si="7" ref="G54:N54">G27+G53</f>
        <v>9908930.348359069</v>
      </c>
      <c r="H54" s="20">
        <f t="shared" si="7"/>
        <v>284896.20796928846</v>
      </c>
      <c r="I54" s="20">
        <f t="shared" si="7"/>
        <v>15224.0685624</v>
      </c>
      <c r="J54" s="20">
        <f t="shared" si="7"/>
        <v>9434379.960501505</v>
      </c>
      <c r="K54" s="20">
        <f t="shared" si="7"/>
        <v>2062560.2114661988</v>
      </c>
      <c r="L54" s="20">
        <f t="shared" si="7"/>
        <v>1982012.5967440133</v>
      </c>
      <c r="M54" s="20">
        <f t="shared" si="7"/>
        <v>23688003.393602476</v>
      </c>
      <c r="N54" s="21">
        <f t="shared" si="7"/>
        <v>248.145855788838</v>
      </c>
    </row>
    <row r="58" spans="3:14" ht="18">
      <c r="C58" s="47" t="s">
        <v>97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3:11" ht="19.5" customHeight="1">
      <c r="C59" s="48" t="s">
        <v>98</v>
      </c>
      <c r="D59" s="36"/>
      <c r="E59" s="49">
        <f>G54</f>
        <v>9908930.348359069</v>
      </c>
      <c r="F59" s="36"/>
      <c r="G59" s="48" t="s">
        <v>99</v>
      </c>
      <c r="H59" s="36"/>
      <c r="I59" s="36"/>
      <c r="J59" s="49">
        <f>J54</f>
        <v>9434379.960501505</v>
      </c>
      <c r="K59" s="36"/>
    </row>
    <row r="60" spans="3:11" ht="19.5" customHeight="1">
      <c r="C60" s="48" t="s">
        <v>100</v>
      </c>
      <c r="D60" s="36"/>
      <c r="E60" s="49">
        <f>H54</f>
        <v>284896.20796928846</v>
      </c>
      <c r="F60" s="36"/>
      <c r="G60" s="48" t="s">
        <v>101</v>
      </c>
      <c r="H60" s="36"/>
      <c r="I60" s="36"/>
      <c r="J60" s="49">
        <f>K54</f>
        <v>2062560.2114661988</v>
      </c>
      <c r="K60" s="36"/>
    </row>
    <row r="61" spans="3:11" ht="19.5" customHeight="1">
      <c r="C61" s="48" t="s">
        <v>102</v>
      </c>
      <c r="D61" s="36"/>
      <c r="E61" s="49">
        <f>I54</f>
        <v>15224.0685624</v>
      </c>
      <c r="F61" s="36"/>
      <c r="G61" s="48" t="s">
        <v>103</v>
      </c>
      <c r="H61" s="36"/>
      <c r="I61" s="36"/>
      <c r="J61" s="49">
        <f>L54</f>
        <v>1982012.5967440133</v>
      </c>
      <c r="K61" s="36"/>
    </row>
    <row r="62" spans="3:11" ht="15">
      <c r="C62" s="5"/>
      <c r="E62" s="22"/>
      <c r="G62" s="48" t="s">
        <v>104</v>
      </c>
      <c r="H62" s="36"/>
      <c r="I62" s="36"/>
      <c r="J62" s="49">
        <f>M54</f>
        <v>23688003.393602476</v>
      </c>
      <c r="K62" s="36"/>
    </row>
  </sheetData>
  <sheetProtection formatCells="0" formatColumns="0" formatRows="0" insertColumns="0" insertRows="0" insertHyperlinks="0" deleteColumns="0" deleteRows="0" sort="0" autoFilter="0" pivotTables="0"/>
  <mergeCells count="23">
    <mergeCell ref="G62:I62"/>
    <mergeCell ref="J62:K62"/>
    <mergeCell ref="C60:D60"/>
    <mergeCell ref="E60:F60"/>
    <mergeCell ref="G60:I60"/>
    <mergeCell ref="J60:K60"/>
    <mergeCell ref="C61:D61"/>
    <mergeCell ref="E61:F61"/>
    <mergeCell ref="G61:I61"/>
    <mergeCell ref="J61:K61"/>
    <mergeCell ref="B53:F53"/>
    <mergeCell ref="B54:F54"/>
    <mergeCell ref="C58:N58"/>
    <mergeCell ref="C59:D59"/>
    <mergeCell ref="E59:F59"/>
    <mergeCell ref="G59:I59"/>
    <mergeCell ref="J59:K59"/>
    <mergeCell ref="B1:M1"/>
    <mergeCell ref="B4:K4"/>
    <mergeCell ref="L4:M4"/>
    <mergeCell ref="B5:N5"/>
    <mergeCell ref="B27:F27"/>
    <mergeCell ref="B28:N28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B1">
      <selection activeCell="B57" sqref="B57:G5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0" t="s">
        <v>105</v>
      </c>
      <c r="C1" s="50"/>
      <c r="D1" s="50"/>
      <c r="E1" s="50"/>
      <c r="F1" s="50"/>
      <c r="G1" s="50"/>
    </row>
    <row r="3" spans="1:7" ht="27">
      <c r="A3" s="23"/>
      <c r="B3" s="24" t="s">
        <v>1</v>
      </c>
      <c r="C3" s="24" t="s">
        <v>106</v>
      </c>
      <c r="D3" s="24" t="s">
        <v>107</v>
      </c>
      <c r="E3" s="24" t="s">
        <v>4</v>
      </c>
      <c r="F3" s="24" t="s">
        <v>108</v>
      </c>
      <c r="G3" s="25" t="s">
        <v>12</v>
      </c>
    </row>
    <row r="4" spans="2:7" ht="16.5">
      <c r="B4" s="51" t="s">
        <v>109</v>
      </c>
      <c r="C4" s="51"/>
      <c r="D4" s="51"/>
      <c r="E4" s="51"/>
      <c r="F4" s="51"/>
      <c r="G4" s="51"/>
    </row>
    <row r="5" spans="2:7" ht="12">
      <c r="B5" s="26">
        <v>1</v>
      </c>
      <c r="C5" s="28" t="s">
        <v>110</v>
      </c>
      <c r="D5" s="28" t="s">
        <v>111</v>
      </c>
      <c r="E5" s="29">
        <v>14.2616</v>
      </c>
      <c r="F5" s="30">
        <v>236.46474</v>
      </c>
      <c r="G5" s="31">
        <f aca="true" t="shared" si="0" ref="G5:G23">E5*F5</f>
        <v>3372.365535984</v>
      </c>
    </row>
    <row r="6" spans="2:7" ht="12">
      <c r="B6" s="27">
        <v>2</v>
      </c>
      <c r="C6" s="7" t="s">
        <v>112</v>
      </c>
      <c r="D6" s="7" t="s">
        <v>111</v>
      </c>
      <c r="E6" s="12">
        <v>6.611</v>
      </c>
      <c r="F6" s="14">
        <v>236.46474</v>
      </c>
      <c r="G6" s="32">
        <f t="shared" si="0"/>
        <v>1563.26839614</v>
      </c>
    </row>
    <row r="7" spans="2:7" ht="12">
      <c r="B7" s="27">
        <v>3</v>
      </c>
      <c r="C7" s="7" t="s">
        <v>113</v>
      </c>
      <c r="D7" s="7" t="s">
        <v>111</v>
      </c>
      <c r="E7" s="12">
        <v>6.611</v>
      </c>
      <c r="F7" s="14">
        <v>176.73</v>
      </c>
      <c r="G7" s="32">
        <f t="shared" si="0"/>
        <v>1168.36203</v>
      </c>
    </row>
    <row r="8" spans="2:7" ht="12">
      <c r="B8" s="27">
        <v>4</v>
      </c>
      <c r="C8" s="7" t="s">
        <v>114</v>
      </c>
      <c r="D8" s="7" t="s">
        <v>111</v>
      </c>
      <c r="E8" s="12">
        <v>9588.48286</v>
      </c>
      <c r="F8" s="14">
        <v>176.73</v>
      </c>
      <c r="G8" s="32">
        <f t="shared" si="0"/>
        <v>1694572.5758478</v>
      </c>
    </row>
    <row r="9" spans="2:7" ht="12">
      <c r="B9" s="27">
        <v>5</v>
      </c>
      <c r="C9" s="7" t="s">
        <v>115</v>
      </c>
      <c r="D9" s="7" t="s">
        <v>111</v>
      </c>
      <c r="E9" s="12">
        <v>16.46478</v>
      </c>
      <c r="F9" s="14">
        <v>209.60178</v>
      </c>
      <c r="G9" s="32">
        <f t="shared" si="0"/>
        <v>3451.0471953084</v>
      </c>
    </row>
    <row r="10" spans="2:7" ht="12">
      <c r="B10" s="27">
        <v>6</v>
      </c>
      <c r="C10" s="7" t="s">
        <v>116</v>
      </c>
      <c r="D10" s="7" t="s">
        <v>111</v>
      </c>
      <c r="E10" s="12">
        <v>35.1532</v>
      </c>
      <c r="F10" s="14">
        <v>209.60178</v>
      </c>
      <c r="G10" s="32">
        <f t="shared" si="0"/>
        <v>7368.173292695999</v>
      </c>
    </row>
    <row r="11" spans="2:7" ht="24">
      <c r="B11" s="27">
        <v>7</v>
      </c>
      <c r="C11" s="7" t="s">
        <v>117</v>
      </c>
      <c r="D11" s="7" t="s">
        <v>111</v>
      </c>
      <c r="E11" s="12">
        <v>11.844</v>
      </c>
      <c r="F11" s="14">
        <v>236.46474</v>
      </c>
      <c r="G11" s="32">
        <f t="shared" si="0"/>
        <v>2800.68838056</v>
      </c>
    </row>
    <row r="12" spans="2:7" ht="12">
      <c r="B12" s="27">
        <v>8</v>
      </c>
      <c r="C12" s="7" t="s">
        <v>118</v>
      </c>
      <c r="D12" s="7" t="s">
        <v>111</v>
      </c>
      <c r="E12" s="12">
        <v>37.4556</v>
      </c>
      <c r="F12" s="14">
        <v>236.46474</v>
      </c>
      <c r="G12" s="32">
        <f t="shared" si="0"/>
        <v>8856.928715544</v>
      </c>
    </row>
    <row r="13" spans="2:7" ht="12">
      <c r="B13" s="27">
        <v>9</v>
      </c>
      <c r="C13" s="7" t="s">
        <v>119</v>
      </c>
      <c r="D13" s="7" t="s">
        <v>111</v>
      </c>
      <c r="E13" s="12">
        <v>208.2304</v>
      </c>
      <c r="F13" s="14">
        <v>209.60178</v>
      </c>
      <c r="G13" s="32">
        <f t="shared" si="0"/>
        <v>43645.462490112</v>
      </c>
    </row>
    <row r="14" spans="2:7" ht="24">
      <c r="B14" s="27">
        <v>10</v>
      </c>
      <c r="C14" s="7" t="s">
        <v>120</v>
      </c>
      <c r="D14" s="7" t="s">
        <v>111</v>
      </c>
      <c r="E14" s="12">
        <v>2381.404824</v>
      </c>
      <c r="F14" s="14">
        <v>191.75204999999997</v>
      </c>
      <c r="G14" s="32">
        <f t="shared" si="0"/>
        <v>456639.2568818892</v>
      </c>
    </row>
    <row r="15" spans="2:7" ht="24">
      <c r="B15" s="27">
        <v>11</v>
      </c>
      <c r="C15" s="7" t="s">
        <v>121</v>
      </c>
      <c r="D15" s="7" t="s">
        <v>111</v>
      </c>
      <c r="E15" s="12">
        <v>15.288</v>
      </c>
      <c r="F15" s="14">
        <v>236.46474</v>
      </c>
      <c r="G15" s="32">
        <f t="shared" si="0"/>
        <v>3615.07294512</v>
      </c>
    </row>
    <row r="16" spans="2:7" ht="24">
      <c r="B16" s="27">
        <v>12</v>
      </c>
      <c r="C16" s="7" t="s">
        <v>122</v>
      </c>
      <c r="D16" s="7" t="s">
        <v>111</v>
      </c>
      <c r="E16" s="12">
        <v>0.07</v>
      </c>
      <c r="F16" s="14">
        <v>191.75204999999997</v>
      </c>
      <c r="G16" s="32">
        <f t="shared" si="0"/>
        <v>13.4226435</v>
      </c>
    </row>
    <row r="17" spans="2:7" ht="24">
      <c r="B17" s="27">
        <v>13</v>
      </c>
      <c r="C17" s="7" t="s">
        <v>123</v>
      </c>
      <c r="D17" s="7" t="s">
        <v>111</v>
      </c>
      <c r="E17" s="12">
        <v>6335.6735</v>
      </c>
      <c r="F17" s="14">
        <v>236.46474</v>
      </c>
      <c r="G17" s="32">
        <f t="shared" si="0"/>
        <v>1498163.38690239</v>
      </c>
    </row>
    <row r="18" spans="2:7" ht="12">
      <c r="B18" s="27">
        <v>14</v>
      </c>
      <c r="C18" s="7" t="s">
        <v>124</v>
      </c>
      <c r="D18" s="7" t="s">
        <v>111</v>
      </c>
      <c r="E18" s="12">
        <v>233.877</v>
      </c>
      <c r="F18" s="14">
        <v>209.60178</v>
      </c>
      <c r="G18" s="32">
        <f t="shared" si="0"/>
        <v>49021.03550106</v>
      </c>
    </row>
    <row r="19" spans="2:7" ht="12">
      <c r="B19" s="27">
        <v>15</v>
      </c>
      <c r="C19" s="7" t="s">
        <v>125</v>
      </c>
      <c r="D19" s="7" t="s">
        <v>111</v>
      </c>
      <c r="E19" s="12">
        <v>12269.24</v>
      </c>
      <c r="F19" s="14">
        <v>236.46474</v>
      </c>
      <c r="G19" s="32">
        <f t="shared" si="0"/>
        <v>2901242.6465976</v>
      </c>
    </row>
    <row r="20" spans="2:7" ht="12">
      <c r="B20" s="27">
        <v>16</v>
      </c>
      <c r="C20" s="7" t="s">
        <v>126</v>
      </c>
      <c r="D20" s="7" t="s">
        <v>111</v>
      </c>
      <c r="E20" s="12">
        <v>0.3</v>
      </c>
      <c r="F20" s="14">
        <v>236.46474</v>
      </c>
      <c r="G20" s="32">
        <f t="shared" si="0"/>
        <v>70.939422</v>
      </c>
    </row>
    <row r="21" spans="2:7" ht="24">
      <c r="B21" s="27">
        <v>17</v>
      </c>
      <c r="C21" s="7" t="s">
        <v>127</v>
      </c>
      <c r="D21" s="7" t="s">
        <v>128</v>
      </c>
      <c r="E21" s="12">
        <v>6329.7935</v>
      </c>
      <c r="F21" s="14">
        <v>272.51766</v>
      </c>
      <c r="G21" s="32">
        <f t="shared" si="0"/>
        <v>1724980.5129032098</v>
      </c>
    </row>
    <row r="22" spans="2:7" ht="24">
      <c r="B22" s="27">
        <v>18</v>
      </c>
      <c r="C22" s="7" t="s">
        <v>129</v>
      </c>
      <c r="D22" s="7" t="s">
        <v>111</v>
      </c>
      <c r="E22" s="12">
        <v>42.42</v>
      </c>
      <c r="F22" s="14">
        <v>209.60178</v>
      </c>
      <c r="G22" s="32">
        <f t="shared" si="0"/>
        <v>8891.3075076</v>
      </c>
    </row>
    <row r="23" spans="2:7" ht="24">
      <c r="B23" s="27">
        <v>19</v>
      </c>
      <c r="C23" s="7" t="s">
        <v>130</v>
      </c>
      <c r="D23" s="7" t="s">
        <v>111</v>
      </c>
      <c r="E23" s="12">
        <v>6341.30016666</v>
      </c>
      <c r="F23" s="14">
        <v>236.46474</v>
      </c>
      <c r="G23" s="32">
        <f t="shared" si="0"/>
        <v>1499493.8951712137</v>
      </c>
    </row>
    <row r="24" spans="2:7" ht="12">
      <c r="B24" s="52" t="s">
        <v>131</v>
      </c>
      <c r="C24" s="53"/>
      <c r="D24" s="53"/>
      <c r="E24" s="53"/>
      <c r="F24" s="54"/>
      <c r="G24" s="33">
        <f>SUM(G5:G23)</f>
        <v>9908930.348359728</v>
      </c>
    </row>
    <row r="25" spans="2:7" ht="16.5">
      <c r="B25" s="51" t="s">
        <v>132</v>
      </c>
      <c r="C25" s="51"/>
      <c r="D25" s="51"/>
      <c r="E25" s="51"/>
      <c r="F25" s="51"/>
      <c r="G25" s="51"/>
    </row>
    <row r="26" spans="2:7" ht="12">
      <c r="B26" s="26">
        <v>20</v>
      </c>
      <c r="C26" s="28" t="s">
        <v>133</v>
      </c>
      <c r="D26" s="28" t="s">
        <v>134</v>
      </c>
      <c r="E26" s="29">
        <v>3.8649</v>
      </c>
      <c r="F26" s="30">
        <v>26.0944</v>
      </c>
      <c r="G26" s="31">
        <f aca="true" t="shared" si="1" ref="G26:G38">E26*F26</f>
        <v>100.85224656</v>
      </c>
    </row>
    <row r="27" spans="2:7" ht="12">
      <c r="B27" s="27">
        <v>21</v>
      </c>
      <c r="C27" s="7" t="s">
        <v>135</v>
      </c>
      <c r="D27" s="7" t="s">
        <v>136</v>
      </c>
      <c r="E27" s="12">
        <v>263.3302</v>
      </c>
      <c r="F27" s="14">
        <v>0</v>
      </c>
      <c r="G27" s="32">
        <f t="shared" si="1"/>
        <v>0</v>
      </c>
    </row>
    <row r="28" spans="2:7" ht="12">
      <c r="B28" s="27">
        <v>22</v>
      </c>
      <c r="C28" s="7" t="s">
        <v>137</v>
      </c>
      <c r="D28" s="7" t="s">
        <v>134</v>
      </c>
      <c r="E28" s="12">
        <v>1.454418</v>
      </c>
      <c r="F28" s="14">
        <v>56.85119999999999</v>
      </c>
      <c r="G28" s="32">
        <f t="shared" si="1"/>
        <v>82.68540860159999</v>
      </c>
    </row>
    <row r="29" spans="2:7" ht="12">
      <c r="B29" s="27">
        <v>23</v>
      </c>
      <c r="C29" s="7" t="s">
        <v>138</v>
      </c>
      <c r="D29" s="7" t="s">
        <v>134</v>
      </c>
      <c r="E29" s="12">
        <v>6.32052</v>
      </c>
      <c r="F29" s="14">
        <v>150.39999999999998</v>
      </c>
      <c r="G29" s="32">
        <f t="shared" si="1"/>
        <v>950.6062079999999</v>
      </c>
    </row>
    <row r="30" spans="2:7" ht="12">
      <c r="B30" s="27">
        <v>24</v>
      </c>
      <c r="C30" s="7" t="s">
        <v>139</v>
      </c>
      <c r="D30" s="7" t="s">
        <v>134</v>
      </c>
      <c r="E30" s="12">
        <v>0.363168</v>
      </c>
      <c r="F30" s="14">
        <v>752</v>
      </c>
      <c r="G30" s="32">
        <f t="shared" si="1"/>
        <v>273.102336</v>
      </c>
    </row>
    <row r="31" spans="2:7" ht="24">
      <c r="B31" s="27">
        <v>25</v>
      </c>
      <c r="C31" s="7" t="s">
        <v>140</v>
      </c>
      <c r="D31" s="7" t="s">
        <v>134</v>
      </c>
      <c r="E31" s="12">
        <v>1.212</v>
      </c>
      <c r="F31" s="14">
        <v>110.7884</v>
      </c>
      <c r="G31" s="32">
        <f t="shared" si="1"/>
        <v>134.2755408</v>
      </c>
    </row>
    <row r="32" spans="2:7" ht="12">
      <c r="B32" s="27">
        <v>26</v>
      </c>
      <c r="C32" s="7" t="s">
        <v>141</v>
      </c>
      <c r="D32" s="7" t="s">
        <v>134</v>
      </c>
      <c r="E32" s="12">
        <v>30.3</v>
      </c>
      <c r="F32" s="14">
        <v>80.981</v>
      </c>
      <c r="G32" s="32">
        <f t="shared" si="1"/>
        <v>2453.7243</v>
      </c>
    </row>
    <row r="33" spans="2:7" ht="12">
      <c r="B33" s="27">
        <v>27</v>
      </c>
      <c r="C33" s="7" t="s">
        <v>142</v>
      </c>
      <c r="D33" s="7" t="s">
        <v>143</v>
      </c>
      <c r="E33" s="12">
        <v>2.114056</v>
      </c>
      <c r="F33" s="14">
        <v>3697.5746</v>
      </c>
      <c r="G33" s="32">
        <f t="shared" si="1"/>
        <v>7816.879768577601</v>
      </c>
    </row>
    <row r="34" spans="2:7" ht="12">
      <c r="B34" s="27">
        <v>28</v>
      </c>
      <c r="C34" s="7" t="s">
        <v>144</v>
      </c>
      <c r="D34" s="7" t="s">
        <v>134</v>
      </c>
      <c r="E34" s="12">
        <v>0.882</v>
      </c>
      <c r="F34" s="14">
        <v>319.6094</v>
      </c>
      <c r="G34" s="32">
        <f t="shared" si="1"/>
        <v>281.8954908</v>
      </c>
    </row>
    <row r="35" spans="2:7" ht="12">
      <c r="B35" s="27">
        <v>29</v>
      </c>
      <c r="C35" s="7" t="s">
        <v>145</v>
      </c>
      <c r="D35" s="7" t="s">
        <v>134</v>
      </c>
      <c r="E35" s="12">
        <v>0.3798</v>
      </c>
      <c r="F35" s="14">
        <v>59.3704</v>
      </c>
      <c r="G35" s="32">
        <f t="shared" si="1"/>
        <v>22.54887792</v>
      </c>
    </row>
    <row r="36" spans="2:7" ht="12">
      <c r="B36" s="27">
        <v>30</v>
      </c>
      <c r="C36" s="7" t="s">
        <v>146</v>
      </c>
      <c r="D36" s="7" t="s">
        <v>147</v>
      </c>
      <c r="E36" s="12">
        <v>1.299</v>
      </c>
      <c r="F36" s="14">
        <v>13.0566</v>
      </c>
      <c r="G36" s="32">
        <f t="shared" si="1"/>
        <v>16.9605234</v>
      </c>
    </row>
    <row r="37" spans="2:7" ht="12">
      <c r="B37" s="27">
        <v>31</v>
      </c>
      <c r="C37" s="7" t="s">
        <v>148</v>
      </c>
      <c r="D37" s="7" t="s">
        <v>149</v>
      </c>
      <c r="E37" s="12">
        <v>8.28</v>
      </c>
      <c r="F37" s="14">
        <v>32515.502399999998</v>
      </c>
      <c r="G37" s="32">
        <f t="shared" si="1"/>
        <v>269228.35987199994</v>
      </c>
    </row>
    <row r="38" spans="2:7" ht="12">
      <c r="B38" s="27">
        <v>32</v>
      </c>
      <c r="C38" s="7" t="s">
        <v>150</v>
      </c>
      <c r="D38" s="7" t="s">
        <v>151</v>
      </c>
      <c r="E38" s="12">
        <v>0.0912</v>
      </c>
      <c r="F38" s="14">
        <v>441.5462</v>
      </c>
      <c r="G38" s="32">
        <f t="shared" si="1"/>
        <v>40.26901344</v>
      </c>
    </row>
    <row r="39" spans="2:7" ht="12">
      <c r="B39" s="52" t="s">
        <v>131</v>
      </c>
      <c r="C39" s="53"/>
      <c r="D39" s="53"/>
      <c r="E39" s="53"/>
      <c r="F39" s="54"/>
      <c r="G39" s="33">
        <f>SUM(G26:G38)</f>
        <v>281402.15958609915</v>
      </c>
    </row>
    <row r="40" spans="2:7" ht="16.5">
      <c r="B40" s="51" t="s">
        <v>152</v>
      </c>
      <c r="C40" s="51"/>
      <c r="D40" s="51"/>
      <c r="E40" s="51"/>
      <c r="F40" s="51"/>
      <c r="G40" s="51"/>
    </row>
    <row r="41" spans="2:7" ht="12">
      <c r="B41" s="26">
        <v>33</v>
      </c>
      <c r="C41" s="28" t="s">
        <v>153</v>
      </c>
      <c r="D41" s="28" t="s">
        <v>147</v>
      </c>
      <c r="E41" s="29">
        <v>1.22514898</v>
      </c>
      <c r="F41" s="30">
        <v>115.80799999999999</v>
      </c>
      <c r="G41" s="31">
        <f aca="true" t="shared" si="2" ref="G41:G51">E41*F41</f>
        <v>141.88205307584</v>
      </c>
    </row>
    <row r="42" spans="2:7" ht="12">
      <c r="B42" s="27">
        <v>34</v>
      </c>
      <c r="C42" s="7" t="s">
        <v>154</v>
      </c>
      <c r="D42" s="7" t="s">
        <v>147</v>
      </c>
      <c r="E42" s="12">
        <v>14.44741616</v>
      </c>
      <c r="F42" s="14">
        <v>78.02</v>
      </c>
      <c r="G42" s="32">
        <f t="shared" si="2"/>
        <v>1127.1874088032</v>
      </c>
    </row>
    <row r="43" spans="2:7" ht="12">
      <c r="B43" s="27">
        <v>35</v>
      </c>
      <c r="C43" s="7" t="s">
        <v>155</v>
      </c>
      <c r="D43" s="7" t="s">
        <v>147</v>
      </c>
      <c r="E43" s="12">
        <v>0.324</v>
      </c>
      <c r="F43" s="14">
        <v>98.51199999999999</v>
      </c>
      <c r="G43" s="32">
        <f t="shared" si="2"/>
        <v>31.917887999999998</v>
      </c>
    </row>
    <row r="44" spans="2:7" ht="12">
      <c r="B44" s="27">
        <v>36</v>
      </c>
      <c r="C44" s="7" t="s">
        <v>156</v>
      </c>
      <c r="D44" s="7" t="s">
        <v>147</v>
      </c>
      <c r="E44" s="12">
        <v>0.552</v>
      </c>
      <c r="F44" s="14">
        <v>293.28</v>
      </c>
      <c r="G44" s="32">
        <f t="shared" si="2"/>
        <v>161.89056</v>
      </c>
    </row>
    <row r="45" spans="2:7" ht="12">
      <c r="B45" s="27">
        <v>37</v>
      </c>
      <c r="C45" s="7" t="s">
        <v>157</v>
      </c>
      <c r="D45" s="7" t="s">
        <v>147</v>
      </c>
      <c r="E45" s="12">
        <v>0.28167</v>
      </c>
      <c r="F45" s="14">
        <v>112.8</v>
      </c>
      <c r="G45" s="32">
        <f t="shared" si="2"/>
        <v>31.772375999999998</v>
      </c>
    </row>
    <row r="46" spans="2:7" ht="12">
      <c r="B46" s="27">
        <v>38</v>
      </c>
      <c r="C46" s="7" t="s">
        <v>158</v>
      </c>
      <c r="D46" s="7" t="s">
        <v>147</v>
      </c>
      <c r="E46" s="12">
        <v>2.84372</v>
      </c>
      <c r="F46" s="14">
        <v>139.12</v>
      </c>
      <c r="G46" s="32">
        <f t="shared" si="2"/>
        <v>395.6183264</v>
      </c>
    </row>
    <row r="47" spans="2:7" ht="12">
      <c r="B47" s="27">
        <v>39</v>
      </c>
      <c r="C47" s="7" t="s">
        <v>159</v>
      </c>
      <c r="D47" s="7" t="s">
        <v>147</v>
      </c>
      <c r="E47" s="12">
        <v>14.9066</v>
      </c>
      <c r="F47" s="14">
        <v>67.67999999999999</v>
      </c>
      <c r="G47" s="32">
        <f t="shared" si="2"/>
        <v>1008.8786879999998</v>
      </c>
    </row>
    <row r="48" spans="2:7" ht="12">
      <c r="B48" s="27">
        <v>40</v>
      </c>
      <c r="C48" s="7" t="s">
        <v>160</v>
      </c>
      <c r="D48" s="7" t="s">
        <v>147</v>
      </c>
      <c r="E48" s="12">
        <v>0.08939</v>
      </c>
      <c r="F48" s="14">
        <v>105.28</v>
      </c>
      <c r="G48" s="32">
        <f t="shared" si="2"/>
        <v>9.4109792</v>
      </c>
    </row>
    <row r="49" spans="2:7" ht="12">
      <c r="B49" s="27">
        <v>41</v>
      </c>
      <c r="C49" s="7" t="s">
        <v>161</v>
      </c>
      <c r="D49" s="7" t="s">
        <v>147</v>
      </c>
      <c r="E49" s="12">
        <v>0.61160087</v>
      </c>
      <c r="F49" s="14">
        <v>74.448</v>
      </c>
      <c r="G49" s="32">
        <f t="shared" si="2"/>
        <v>45.532461569759995</v>
      </c>
    </row>
    <row r="50" spans="2:7" ht="12">
      <c r="B50" s="27">
        <v>42</v>
      </c>
      <c r="C50" s="7" t="s">
        <v>162</v>
      </c>
      <c r="D50" s="7" t="s">
        <v>147</v>
      </c>
      <c r="E50" s="12">
        <v>0.276</v>
      </c>
      <c r="F50" s="14">
        <v>1955.1999999999998</v>
      </c>
      <c r="G50" s="32">
        <f t="shared" si="2"/>
        <v>539.6351999999999</v>
      </c>
    </row>
    <row r="51" spans="2:7" ht="12">
      <c r="B51" s="27">
        <v>43</v>
      </c>
      <c r="C51" s="7" t="s">
        <v>163</v>
      </c>
      <c r="D51" s="7" t="s">
        <v>147</v>
      </c>
      <c r="E51" s="12">
        <v>0.00274858</v>
      </c>
      <c r="F51" s="14">
        <v>117.312</v>
      </c>
      <c r="G51" s="32">
        <f t="shared" si="2"/>
        <v>0.32244141696</v>
      </c>
    </row>
    <row r="52" spans="2:7" ht="12">
      <c r="B52" s="52" t="s">
        <v>131</v>
      </c>
      <c r="C52" s="53"/>
      <c r="D52" s="53"/>
      <c r="E52" s="53"/>
      <c r="F52" s="54"/>
      <c r="G52" s="33">
        <f>SUM(G41:G51)</f>
        <v>3494.0483824657595</v>
      </c>
    </row>
    <row r="53" spans="2:7" ht="16.5">
      <c r="B53" s="51" t="s">
        <v>164</v>
      </c>
      <c r="C53" s="51"/>
      <c r="D53" s="51"/>
      <c r="E53" s="51"/>
      <c r="F53" s="51"/>
      <c r="G53" s="51"/>
    </row>
    <row r="54" spans="2:7" ht="12">
      <c r="B54" s="26">
        <v>44</v>
      </c>
      <c r="C54" s="28" t="s">
        <v>165</v>
      </c>
      <c r="D54" s="28" t="s">
        <v>166</v>
      </c>
      <c r="E54" s="29">
        <v>159.36</v>
      </c>
      <c r="F54" s="30">
        <v>63.96809999999999</v>
      </c>
      <c r="G54" s="31">
        <f>E54*F54</f>
        <v>10193.956415999999</v>
      </c>
    </row>
    <row r="55" spans="2:7" ht="12">
      <c r="B55" s="27">
        <v>45</v>
      </c>
      <c r="C55" s="7" t="s">
        <v>167</v>
      </c>
      <c r="D55" s="7" t="s">
        <v>168</v>
      </c>
      <c r="E55" s="12">
        <v>6.611</v>
      </c>
      <c r="F55" s="14">
        <v>667.486</v>
      </c>
      <c r="G55" s="32">
        <f>E55*F55</f>
        <v>4412.749946</v>
      </c>
    </row>
    <row r="56" spans="2:7" ht="12">
      <c r="B56" s="27">
        <v>46</v>
      </c>
      <c r="C56" s="7" t="s">
        <v>169</v>
      </c>
      <c r="D56" s="7" t="s">
        <v>166</v>
      </c>
      <c r="E56" s="12">
        <v>1.012</v>
      </c>
      <c r="F56" s="14">
        <v>610.0417</v>
      </c>
      <c r="G56" s="32">
        <f>E56*F56</f>
        <v>617.3622004</v>
      </c>
    </row>
    <row r="57" spans="2:7" ht="12">
      <c r="B57" s="52" t="s">
        <v>131</v>
      </c>
      <c r="C57" s="53"/>
      <c r="D57" s="53"/>
      <c r="E57" s="53"/>
      <c r="F57" s="54"/>
      <c r="G57" s="33">
        <f>SUM(G54:G56)</f>
        <v>15224.0685624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2:F52"/>
    <mergeCell ref="B53:G53"/>
    <mergeCell ref="B57:F57"/>
    <mergeCell ref="B1:G1"/>
    <mergeCell ref="B4:G4"/>
    <mergeCell ref="B24:F24"/>
    <mergeCell ref="B25:G25"/>
    <mergeCell ref="B39:F39"/>
    <mergeCell ref="B40:G40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User</cp:lastModifiedBy>
  <dcterms:created xsi:type="dcterms:W3CDTF">2019-10-17T12:10:38Z</dcterms:created>
  <dcterms:modified xsi:type="dcterms:W3CDTF">2019-10-25T12:18:01Z</dcterms:modified>
  <cp:category>ÑÐ¼ÐµÑ‚Ð°</cp:category>
  <cp:version/>
  <cp:contentType/>
  <cp:contentStatus/>
</cp:coreProperties>
</file>