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Катя\ДОМОУПРАВЛЕНИЕ\ОДН\Для сайта расчеты корректировок\"/>
    </mc:Choice>
  </mc:AlternateContent>
  <bookViews>
    <workbookView xWindow="-105" yWindow="-105" windowWidth="23250" windowHeight="12570" tabRatio="876"/>
  </bookViews>
  <sheets>
    <sheet name="14Б" sheetId="1" r:id="rId1"/>
    <sheet name="14В" sheetId="3" r:id="rId2"/>
    <sheet name="16" sheetId="4" r:id="rId3"/>
    <sheet name="16 Б" sheetId="5" r:id="rId4"/>
    <sheet name="16 Г" sheetId="6" r:id="rId5"/>
    <sheet name="18 В" sheetId="7" r:id="rId6"/>
    <sheet name="18 Г" sheetId="8" r:id="rId7"/>
    <sheet name="31" sheetId="9" r:id="rId8"/>
    <sheet name="33 А" sheetId="10" r:id="rId9"/>
    <sheet name="33 Б" sheetId="11" r:id="rId10"/>
    <sheet name="35" sheetId="12" r:id="rId11"/>
    <sheet name=" 2" sheetId="13" r:id="rId12"/>
    <sheet name=" 3" sheetId="14" r:id="rId13"/>
    <sheet name="20" sheetId="15" r:id="rId14"/>
    <sheet name="42 В" sheetId="16" r:id="rId15"/>
    <sheet name="42 Г" sheetId="17" r:id="rId16"/>
    <sheet name="4" sheetId="18" r:id="rId17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8" l="1"/>
  <c r="S9" i="18"/>
  <c r="S8" i="18"/>
  <c r="Q10" i="18"/>
  <c r="S13" i="17"/>
  <c r="S11" i="17"/>
  <c r="S15" i="17" s="1"/>
  <c r="S9" i="17"/>
  <c r="R10" i="16"/>
  <c r="S10" i="16" s="1"/>
  <c r="S11" i="16" s="1"/>
  <c r="Q9" i="16"/>
  <c r="Q8" i="16"/>
  <c r="R11" i="15"/>
  <c r="Q9" i="15"/>
  <c r="Q10" i="14"/>
  <c r="S10" i="14" s="1"/>
  <c r="Q9" i="14"/>
  <c r="Q8" i="14"/>
  <c r="R8" i="12"/>
  <c r="R8" i="11"/>
  <c r="S8" i="11" s="1"/>
  <c r="Q9" i="9"/>
  <c r="Q10" i="9"/>
  <c r="Q8" i="9"/>
  <c r="S10" i="8"/>
  <c r="S9" i="8"/>
  <c r="S8" i="8"/>
  <c r="Q10" i="8"/>
  <c r="Q8" i="8"/>
  <c r="Q9" i="7"/>
  <c r="Q8" i="7"/>
  <c r="S9" i="6"/>
  <c r="R9" i="6"/>
  <c r="Q8" i="6"/>
  <c r="Q10" i="5"/>
  <c r="Q9" i="5"/>
  <c r="Q8" i="5"/>
  <c r="I8" i="5"/>
  <c r="Q13" i="4"/>
  <c r="Q11" i="4"/>
  <c r="Q9" i="4"/>
  <c r="I9" i="3"/>
  <c r="Q9" i="3"/>
  <c r="R10" i="3"/>
  <c r="Q8" i="3"/>
  <c r="R13" i="1"/>
  <c r="Q11" i="1"/>
  <c r="Q9" i="1"/>
  <c r="S11" i="18" l="1"/>
  <c r="I11" i="15"/>
  <c r="S11" i="15"/>
  <c r="S9" i="15"/>
  <c r="S9" i="14"/>
  <c r="S8" i="14"/>
  <c r="S8" i="12"/>
  <c r="S11" i="12" s="1"/>
  <c r="P10" i="5"/>
  <c r="P10" i="8"/>
  <c r="P10" i="9"/>
  <c r="P10" i="6"/>
  <c r="P13" i="4"/>
  <c r="P10" i="3"/>
  <c r="P13" i="1"/>
  <c r="M9" i="6"/>
  <c r="N9" i="6" s="1"/>
  <c r="N10" i="3"/>
  <c r="M10" i="3"/>
  <c r="M13" i="1"/>
  <c r="N13" i="1" s="1"/>
  <c r="M8" i="12"/>
  <c r="N8" i="12" s="1"/>
  <c r="J10" i="11"/>
  <c r="H10" i="11"/>
  <c r="G10" i="11"/>
  <c r="P7" i="11"/>
  <c r="S7" i="10"/>
  <c r="S10" i="9"/>
  <c r="S11" i="9" s="1"/>
  <c r="S9" i="9"/>
  <c r="S8" i="9"/>
  <c r="S9" i="7"/>
  <c r="S11" i="7" s="1"/>
  <c r="S8" i="7"/>
  <c r="S10" i="6"/>
  <c r="S11" i="6"/>
  <c r="S8" i="6"/>
  <c r="S13" i="4"/>
  <c r="S11" i="4"/>
  <c r="S9" i="4"/>
  <c r="S10" i="3"/>
  <c r="L10" i="3"/>
  <c r="S9" i="3"/>
  <c r="S8" i="3"/>
  <c r="S11" i="3" s="1"/>
  <c r="S15" i="4" l="1"/>
  <c r="S13" i="1"/>
  <c r="S11" i="1"/>
  <c r="S9" i="1"/>
  <c r="S15" i="1" s="1"/>
  <c r="L13" i="1" l="1"/>
  <c r="H13" i="4" l="1"/>
  <c r="G13" i="4"/>
  <c r="F13" i="4"/>
  <c r="H10" i="16"/>
  <c r="G10" i="16"/>
  <c r="H13" i="17"/>
  <c r="G13" i="17"/>
  <c r="F13" i="17"/>
  <c r="H10" i="12"/>
  <c r="G10" i="12"/>
  <c r="H10" i="10"/>
  <c r="G10" i="10"/>
  <c r="H10" i="9"/>
  <c r="G10" i="9"/>
  <c r="H10" i="8"/>
  <c r="G10" i="8"/>
  <c r="F10" i="8"/>
  <c r="H13" i="1"/>
  <c r="G13" i="1"/>
  <c r="F13" i="1"/>
  <c r="H10" i="6"/>
  <c r="G10" i="6"/>
  <c r="H10" i="5"/>
  <c r="G10" i="5"/>
  <c r="H10" i="3"/>
  <c r="G10" i="3"/>
  <c r="H10" i="7"/>
  <c r="G10" i="7"/>
  <c r="F10" i="7"/>
  <c r="I10" i="18"/>
  <c r="J10" i="18" s="1"/>
  <c r="H10" i="18"/>
  <c r="G10" i="18"/>
  <c r="G10" i="14"/>
  <c r="H10" i="14"/>
  <c r="M11" i="15"/>
  <c r="N11" i="15" s="1"/>
  <c r="G10" i="13" l="1"/>
  <c r="H10" i="13"/>
  <c r="F10" i="13" l="1"/>
  <c r="H13" i="15"/>
  <c r="G13" i="15"/>
  <c r="F13" i="15"/>
  <c r="I10" i="3"/>
  <c r="J10" i="3" l="1"/>
  <c r="H9" i="18"/>
  <c r="G9" i="18"/>
  <c r="H11" i="17"/>
  <c r="G11" i="17"/>
  <c r="S8" i="16"/>
  <c r="S9" i="16"/>
  <c r="H9" i="16"/>
  <c r="G9" i="16"/>
  <c r="H11" i="15"/>
  <c r="G11" i="15"/>
  <c r="H9" i="14"/>
  <c r="G9" i="14"/>
  <c r="H9" i="13"/>
  <c r="G9" i="13"/>
  <c r="H9" i="12"/>
  <c r="G9" i="12"/>
  <c r="H9" i="11"/>
  <c r="G9" i="11"/>
  <c r="H9" i="10"/>
  <c r="G9" i="10"/>
  <c r="H9" i="9"/>
  <c r="G9" i="9"/>
  <c r="Q9" i="8"/>
  <c r="S11" i="8" s="1"/>
  <c r="G9" i="8"/>
  <c r="H9" i="8"/>
  <c r="H9" i="7"/>
  <c r="G9" i="7"/>
  <c r="H9" i="6" l="1"/>
  <c r="G9" i="6"/>
  <c r="H9" i="5"/>
  <c r="G9" i="5"/>
  <c r="G11" i="4"/>
  <c r="H11" i="4"/>
  <c r="J9" i="4"/>
  <c r="H9" i="3"/>
  <c r="G9" i="3"/>
  <c r="H8" i="3"/>
  <c r="J9" i="1"/>
  <c r="H11" i="1"/>
  <c r="G11" i="1"/>
  <c r="G9" i="1"/>
  <c r="H9" i="1"/>
  <c r="F11" i="17" l="1"/>
  <c r="F11" i="15"/>
  <c r="F11" i="4"/>
  <c r="F11" i="1"/>
  <c r="H9" i="4" l="1"/>
  <c r="G9" i="4"/>
  <c r="H8" i="16"/>
  <c r="G8" i="16"/>
  <c r="H9" i="17"/>
  <c r="G9" i="17"/>
  <c r="H8" i="12"/>
  <c r="G8" i="12"/>
  <c r="H8" i="11"/>
  <c r="G8" i="11"/>
  <c r="H8" i="10"/>
  <c r="G8" i="10"/>
  <c r="H8" i="9"/>
  <c r="G8" i="9"/>
  <c r="H8" i="8"/>
  <c r="G8" i="8"/>
  <c r="H8" i="6"/>
  <c r="G8" i="6"/>
  <c r="H8" i="5"/>
  <c r="G8" i="5"/>
  <c r="G8" i="3"/>
  <c r="H8" i="7"/>
  <c r="G8" i="7"/>
  <c r="H8" i="18"/>
  <c r="G8" i="18"/>
  <c r="M9" i="18"/>
  <c r="N9" i="18" s="1"/>
  <c r="M10" i="18"/>
  <c r="N10" i="18" s="1"/>
  <c r="M8" i="18"/>
  <c r="N8" i="18" s="1"/>
  <c r="M8" i="14"/>
  <c r="N8" i="14"/>
  <c r="H8" i="14"/>
  <c r="G8" i="14"/>
  <c r="Q8" i="13"/>
  <c r="S8" i="13" s="1"/>
  <c r="H8" i="13"/>
  <c r="G8" i="13"/>
  <c r="H9" i="15" l="1"/>
  <c r="G9" i="15"/>
  <c r="P10" i="18"/>
  <c r="P9" i="18"/>
  <c r="I9" i="18"/>
  <c r="P8" i="18"/>
  <c r="I8" i="18"/>
  <c r="P7" i="18"/>
  <c r="F9" i="17"/>
  <c r="P13" i="17"/>
  <c r="I13" i="17"/>
  <c r="P11" i="17"/>
  <c r="I11" i="17"/>
  <c r="P9" i="17"/>
  <c r="I9" i="17"/>
  <c r="P7" i="17"/>
  <c r="P10" i="16"/>
  <c r="I10" i="16"/>
  <c r="P9" i="16"/>
  <c r="I9" i="16"/>
  <c r="P8" i="16"/>
  <c r="I8" i="16"/>
  <c r="J8" i="16" s="1"/>
  <c r="P7" i="16"/>
  <c r="F9" i="15"/>
  <c r="P13" i="15"/>
  <c r="I13" i="15"/>
  <c r="P11" i="15"/>
  <c r="P9" i="15"/>
  <c r="P7" i="15"/>
  <c r="P10" i="14"/>
  <c r="I10" i="14"/>
  <c r="S11" i="14" s="1"/>
  <c r="P9" i="14"/>
  <c r="I9" i="14"/>
  <c r="P8" i="14"/>
  <c r="I8" i="14"/>
  <c r="J8" i="14" s="1"/>
  <c r="P7" i="14"/>
  <c r="I10" i="13"/>
  <c r="P10" i="13"/>
  <c r="P9" i="13"/>
  <c r="I9" i="13"/>
  <c r="P8" i="13"/>
  <c r="I8" i="13"/>
  <c r="P7" i="13"/>
  <c r="I9" i="5"/>
  <c r="S9" i="5" s="1"/>
  <c r="I10" i="5"/>
  <c r="S10" i="5" s="1"/>
  <c r="I9" i="6"/>
  <c r="I10" i="6"/>
  <c r="J10" i="6" s="1"/>
  <c r="I9" i="7"/>
  <c r="I10" i="7"/>
  <c r="J10" i="7" s="1"/>
  <c r="J9" i="8"/>
  <c r="I10" i="8"/>
  <c r="J10" i="8" s="1"/>
  <c r="I9" i="9"/>
  <c r="I10" i="9"/>
  <c r="I9" i="10"/>
  <c r="I10" i="10"/>
  <c r="J10" i="10" s="1"/>
  <c r="I9" i="11"/>
  <c r="J9" i="11" s="1"/>
  <c r="I10" i="11"/>
  <c r="I9" i="12"/>
  <c r="I10" i="12"/>
  <c r="P10" i="12"/>
  <c r="P9" i="12"/>
  <c r="P8" i="12"/>
  <c r="I8" i="12"/>
  <c r="P7" i="12"/>
  <c r="P10" i="11"/>
  <c r="P9" i="11"/>
  <c r="P8" i="11"/>
  <c r="I8" i="11"/>
  <c r="P10" i="10"/>
  <c r="P9" i="10"/>
  <c r="P8" i="10"/>
  <c r="I8" i="10"/>
  <c r="R8" i="10" s="1"/>
  <c r="S8" i="10" s="1"/>
  <c r="S11" i="10" s="1"/>
  <c r="P7" i="10"/>
  <c r="P9" i="9"/>
  <c r="P8" i="9"/>
  <c r="I8" i="9"/>
  <c r="J8" i="9" s="1"/>
  <c r="P7" i="9"/>
  <c r="P8" i="8"/>
  <c r="P9" i="8"/>
  <c r="P7" i="8"/>
  <c r="P7" i="7"/>
  <c r="P10" i="7"/>
  <c r="P9" i="7"/>
  <c r="P8" i="7"/>
  <c r="I8" i="7"/>
  <c r="J8" i="7" s="1"/>
  <c r="S11" i="5" l="1"/>
  <c r="Q13" i="15"/>
  <c r="S13" i="15" s="1"/>
  <c r="S15" i="15" s="1"/>
  <c r="J8" i="8"/>
  <c r="J9" i="9"/>
  <c r="J10" i="9" s="1"/>
  <c r="J9" i="14"/>
  <c r="J10" i="14" s="1"/>
  <c r="L10" i="13"/>
  <c r="Q10" i="13"/>
  <c r="S10" i="13" s="1"/>
  <c r="R9" i="13"/>
  <c r="S9" i="13" s="1"/>
  <c r="S11" i="13" s="1"/>
  <c r="M9" i="13"/>
  <c r="N9" i="13" s="1"/>
  <c r="J8" i="18"/>
  <c r="I9" i="15"/>
  <c r="P9" i="6"/>
  <c r="P8" i="6"/>
  <c r="I8" i="6"/>
  <c r="J8" i="6" s="1"/>
  <c r="P7" i="6"/>
  <c r="S8" i="5"/>
  <c r="F9" i="4"/>
  <c r="I9" i="4" s="1"/>
  <c r="I8" i="3"/>
  <c r="J8" i="3" s="1"/>
  <c r="F9" i="1"/>
  <c r="I9" i="1" s="1"/>
  <c r="P9" i="5"/>
  <c r="P8" i="5"/>
  <c r="P7" i="5"/>
  <c r="I13" i="4"/>
  <c r="P11" i="4"/>
  <c r="I11" i="4"/>
  <c r="P9" i="4"/>
  <c r="P7" i="4"/>
  <c r="P11" i="1"/>
  <c r="P9" i="1"/>
  <c r="P7" i="1"/>
  <c r="P9" i="3"/>
  <c r="P8" i="3"/>
  <c r="P7" i="3"/>
  <c r="I13" i="1"/>
  <c r="I11" i="1"/>
  <c r="S11" i="11" l="1"/>
  <c r="M8" i="11"/>
  <c r="N8" i="11" s="1"/>
  <c r="J11" i="1"/>
</calcChain>
</file>

<file path=xl/sharedStrings.xml><?xml version="1.0" encoding="utf-8"?>
<sst xmlns="http://schemas.openxmlformats.org/spreadsheetml/2006/main" count="667" uniqueCount="73">
  <si>
    <t>Вид коммунального ресурса учитываемого  ОДПУ</t>
  </si>
  <si>
    <t>номер и дата счета РСО за отчетный период</t>
  </si>
  <si>
    <t>Объем ОДН КР ЭЭ на СОИ выставленного РСО в адрес УК</t>
  </si>
  <si>
    <t>Площадь жилых и не жилых помещений расположенных в МКД (кв/м)</t>
  </si>
  <si>
    <t xml:space="preserve">Отчетный месяц </t>
  </si>
  <si>
    <t xml:space="preserve"> ОДН КР ЭЭ на СОИ выставленного РСО в бухгалтерских документах  в адрес УК </t>
  </si>
  <si>
    <t>Разница между объемом потребления по ОДПУ и нормативом выставленного жителям МКД за отчетный период переходящего на следующий отчетный месяц</t>
  </si>
  <si>
    <t>Размер  ОДН КР ЭЭ на СОИ  выставленного в адрес жителей МКД по нормативу потребления (руб)</t>
  </si>
  <si>
    <t>Калининское шоссе, д. 14Б</t>
  </si>
  <si>
    <r>
      <t xml:space="preserve">Данные по ОДПУ за отчетный период </t>
    </r>
    <r>
      <rPr>
        <b/>
        <sz val="11"/>
        <color theme="1"/>
        <rFont val="Calibri"/>
        <family val="2"/>
        <charset val="204"/>
        <scheme val="minor"/>
      </rPr>
      <t>согласно журнала</t>
    </r>
    <r>
      <rPr>
        <sz val="11"/>
        <color theme="1"/>
        <rFont val="Calibri"/>
        <family val="2"/>
        <scheme val="minor"/>
      </rPr>
      <t xml:space="preserve"> УК  и переданные в адрес РСО для учета </t>
    </r>
    <r>
      <rPr>
        <sz val="11"/>
        <color rgb="FFFF0000"/>
        <rFont val="Calibri"/>
        <family val="2"/>
        <charset val="204"/>
        <scheme val="minor"/>
      </rPr>
      <t>(Общий объем потребления по ОДПУ)</t>
    </r>
  </si>
  <si>
    <r>
      <t>Объем потребленного ресурса за отчетный период</t>
    </r>
    <r>
      <rPr>
        <sz val="11"/>
        <color rgb="FFFF0000"/>
        <rFont val="Calibri"/>
        <family val="2"/>
        <charset val="204"/>
        <scheme val="minor"/>
      </rPr>
      <t xml:space="preserve"> жилыми помещениями</t>
    </r>
    <r>
      <rPr>
        <sz val="11"/>
        <color theme="1"/>
        <rFont val="Calibri"/>
        <family val="2"/>
        <scheme val="minor"/>
      </rPr>
      <t xml:space="preserve"> (на основании данных РСО)</t>
    </r>
  </si>
  <si>
    <r>
      <t xml:space="preserve">Объем потребленного ресурса за отчетный период </t>
    </r>
    <r>
      <rPr>
        <sz val="11"/>
        <color rgb="FFFF0000"/>
        <rFont val="Calibri"/>
        <family val="2"/>
        <charset val="204"/>
        <scheme val="minor"/>
      </rPr>
      <t>не жилыми помещениями</t>
    </r>
    <r>
      <rPr>
        <sz val="11"/>
        <color theme="1"/>
        <rFont val="Calibri"/>
        <family val="2"/>
        <scheme val="minor"/>
      </rPr>
      <t xml:space="preserve"> (На основании данных РСО)</t>
    </r>
  </si>
  <si>
    <t>Объем ОДН КР на СОИ за минусом индивидуального потребления (расчетные на основании журнала и данных РСО ) 
ст.  6 - (7+8)</t>
  </si>
  <si>
    <t>Площадь ОИ для рачета ОДН</t>
  </si>
  <si>
    <t>Объем ОДН КР ЭЭ на СОИ  приходящегося на 1 кв.м. площади (кВт. час)</t>
  </si>
  <si>
    <t>Объем ОДН КР ЭЭ на СОИ  выставленного в адрес жителей МКД по нормативу потребления 
(кВт. час)</t>
  </si>
  <si>
    <t>Размер ОДН КР ЭЭ на СОИ  приходящегося на 1 кв.м. площади
 (руб/1 кв.м.)</t>
  </si>
  <si>
    <t>009112177453515</t>
  </si>
  <si>
    <t>009112177453522</t>
  </si>
  <si>
    <t>009112177453496</t>
  </si>
  <si>
    <t>009112177454174</t>
  </si>
  <si>
    <t>0091121781914</t>
  </si>
  <si>
    <t>Данные о Коллективном приборе учета установленном в МКД
 (серийный номер)</t>
  </si>
  <si>
    <t>ЭЭ</t>
  </si>
  <si>
    <t>Калининское шоссе, д. 14В</t>
  </si>
  <si>
    <t>Тариф с 01.07.2022</t>
  </si>
  <si>
    <t>Калининское шоссе, д. 16</t>
  </si>
  <si>
    <t>009112177453406</t>
  </si>
  <si>
    <t>Калининское шоссе, д. 16 Б</t>
  </si>
  <si>
    <t>Калининское шоссе, д. 16 Г</t>
  </si>
  <si>
    <t>009112177453477</t>
  </si>
  <si>
    <t>Калининское шоссе, д. 18 В</t>
  </si>
  <si>
    <t>009112177453631</t>
  </si>
  <si>
    <t>Калининское шоссе, д. 18 Г</t>
  </si>
  <si>
    <t>0088401721274</t>
  </si>
  <si>
    <t>Калининское шоссе, д. 31</t>
  </si>
  <si>
    <t>009112178191121</t>
  </si>
  <si>
    <t>Калининское шоссе, д. 33 А</t>
  </si>
  <si>
    <t>0088401721275</t>
  </si>
  <si>
    <t>Калининское шоссе, д. 33 Б</t>
  </si>
  <si>
    <t>009112177453640</t>
  </si>
  <si>
    <t>отопительный и неотопительный сезоны</t>
  </si>
  <si>
    <t>Калининское шоссе, д. 35</t>
  </si>
  <si>
    <t>ул. Красноармейская, д. 2</t>
  </si>
  <si>
    <t>009112178191182</t>
  </si>
  <si>
    <t>ул. Красноармейская, д. 3</t>
  </si>
  <si>
    <t>0088401721285</t>
  </si>
  <si>
    <t>Ленинградское шоссе, д. 20</t>
  </si>
  <si>
    <t>008840163301073</t>
  </si>
  <si>
    <t>008840162213350</t>
  </si>
  <si>
    <t>Лениградское шоссе, д. 42 В</t>
  </si>
  <si>
    <t>009112178191230</t>
  </si>
  <si>
    <t>Ленинградское шоссе, д. 42 Г</t>
  </si>
  <si>
    <t>009112178191507</t>
  </si>
  <si>
    <t>009112177453525</t>
  </si>
  <si>
    <t>ул. Мира, д. 4</t>
  </si>
  <si>
    <t>0091121774535886</t>
  </si>
  <si>
    <t>Размер ОДН КР ЭЭ на СОИ  приходящегося на 1 кв.м. площади
 (руб/1 кв.м.) на 1 кв.м. квартиры</t>
  </si>
  <si>
    <t>Объем ОДН КР ЭЭ на СОИ  приходящегося на 1 кв.м. площади (кВт. час) на 1 кв.м. квартры</t>
  </si>
  <si>
    <t>расчет по ОДПУ с 11.2022</t>
  </si>
  <si>
    <t>расчет по ОДПУ с 12.2022</t>
  </si>
  <si>
    <t>рачет по ОДПУ с 11.2022</t>
  </si>
  <si>
    <t>Приказ РЭК Тверской области № 564-нп от 29.12.2021</t>
  </si>
  <si>
    <t>Тариф с 01.12.2022</t>
  </si>
  <si>
    <t>Размер корректировки по ОДН КР ЭЭ на СОИ (руб.)</t>
  </si>
  <si>
    <t>№ 6970510631/018364 от 31.10.2022</t>
  </si>
  <si>
    <t>№ 6970510631/016220 от 30.09.2022</t>
  </si>
  <si>
    <t>№ 6970510631/020326 от 30.11.2022</t>
  </si>
  <si>
    <t>№ 6970510631/022341 от 31.12.2022</t>
  </si>
  <si>
    <t>Объем ЭЭ для расчета КР ОДН на СОИ</t>
  </si>
  <si>
    <t>по нормативу выставлено  больше чем по ОДПУ</t>
  </si>
  <si>
    <r>
      <rPr>
        <sz val="11"/>
        <color theme="1"/>
        <rFont val="Calibri"/>
        <family val="2"/>
        <scheme val="minor"/>
      </rPr>
      <t>по нормативу выставлено в адрес жителей меньше чем по ОДПУ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свернорматив</t>
    </r>
  </si>
  <si>
    <r>
      <t xml:space="preserve">по нормативу выставлено в адрес жителей меньше чем по ОДПУ </t>
    </r>
    <r>
      <rPr>
        <b/>
        <sz val="11"/>
        <color rgb="FFFF0000"/>
        <rFont val="Calibri"/>
        <family val="2"/>
        <charset val="204"/>
        <scheme val="minor"/>
      </rPr>
      <t>свернорматив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</si>
</sst>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#,##0.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0" fillId="0" borderId="1" xfId="0" applyFont="1" applyFill="1" applyBorder="1"/>
    <xf numFmtId="2" fontId="10" fillId="0" borderId="1" xfId="0" applyNumberFormat="1" applyFont="1" applyFill="1" applyBorder="1"/>
    <xf numFmtId="0" fontId="0" fillId="0" borderId="0" xfId="0" applyFill="1"/>
    <xf numFmtId="164" fontId="0" fillId="0" borderId="0" xfId="0" applyNumberFormat="1"/>
    <xf numFmtId="164" fontId="1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1" xfId="0" applyBorder="1" applyAlignment="1"/>
    <xf numFmtId="17" fontId="0" fillId="0" borderId="1" xfId="0" applyNumberFormat="1" applyBorder="1" applyAlignment="1">
      <alignment horizontal="center"/>
    </xf>
    <xf numFmtId="49" fontId="0" fillId="0" borderId="1" xfId="0" applyNumberFormat="1" applyBorder="1" applyAlignment="1"/>
    <xf numFmtId="0" fontId="0" fillId="0" borderId="0" xfId="0" applyAlignment="1"/>
    <xf numFmtId="4" fontId="0" fillId="0" borderId="0" xfId="0" applyNumberFormat="1" applyFill="1" applyAlignment="1"/>
    <xf numFmtId="0" fontId="0" fillId="0" borderId="0" xfId="0" applyFill="1" applyAlignment="1"/>
    <xf numFmtId="0" fontId="0" fillId="0" borderId="0" xfId="0" applyNumberFormat="1" applyAlignment="1"/>
    <xf numFmtId="4" fontId="0" fillId="0" borderId="0" xfId="0" applyNumberFormat="1" applyAlignment="1"/>
    <xf numFmtId="4" fontId="9" fillId="0" borderId="0" xfId="0" applyNumberFormat="1" applyFont="1" applyAlignment="1"/>
    <xf numFmtId="0" fontId="9" fillId="0" borderId="0" xfId="0" applyFont="1" applyAlignment="1"/>
    <xf numFmtId="164" fontId="10" fillId="0" borderId="1" xfId="0" applyNumberFormat="1" applyFont="1" applyBorder="1" applyAlignment="1">
      <alignment horizontal="right"/>
    </xf>
    <xf numFmtId="164" fontId="11" fillId="0" borderId="0" xfId="0" applyNumberFormat="1" applyFont="1" applyFill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/>
    <xf numFmtId="0" fontId="0" fillId="0" borderId="2" xfId="0" applyFill="1" applyBorder="1" applyAlignment="1">
      <alignment horizontal="right" wrapText="1"/>
    </xf>
    <xf numFmtId="0" fontId="0" fillId="0" borderId="2" xfId="0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/>
    <xf numFmtId="2" fontId="0" fillId="0" borderId="1" xfId="0" applyNumberFormat="1" applyFill="1" applyBorder="1" applyAlignment="1"/>
    <xf numFmtId="4" fontId="0" fillId="0" borderId="1" xfId="0" applyNumberFormat="1" applyFill="1" applyBorder="1" applyAlignment="1"/>
    <xf numFmtId="4" fontId="10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10" fillId="0" borderId="1" xfId="0" applyFont="1" applyFill="1" applyBorder="1" applyAlignment="1"/>
    <xf numFmtId="4" fontId="10" fillId="0" borderId="1" xfId="0" applyNumberFormat="1" applyFont="1" applyFill="1" applyBorder="1" applyAlignment="1"/>
    <xf numFmtId="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4" fontId="10" fillId="0" borderId="0" xfId="0" applyNumberFormat="1" applyFont="1" applyAlignment="1"/>
    <xf numFmtId="164" fontId="12" fillId="0" borderId="0" xfId="0" applyNumberFormat="1" applyFont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right"/>
    </xf>
    <xf numFmtId="1" fontId="0" fillId="0" borderId="1" xfId="0" applyNumberFormat="1" applyFill="1" applyBorder="1" applyAlignment="1"/>
    <xf numFmtId="4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Fill="1" applyBorder="1" applyAlignment="1">
      <alignment horizontal="right" wrapText="1"/>
    </xf>
    <xf numFmtId="0" fontId="0" fillId="0" borderId="3" xfId="0" applyFill="1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10" fillId="0" borderId="1" xfId="0" applyFont="1" applyFill="1" applyBorder="1" applyAlignment="1">
      <alignment horizontal="right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Fill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2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/>
    <xf numFmtId="167" fontId="0" fillId="0" borderId="2" xfId="0" applyNumberFormat="1" applyFill="1" applyBorder="1" applyAlignment="1">
      <alignment horizontal="center"/>
    </xf>
    <xf numFmtId="167" fontId="0" fillId="0" borderId="3" xfId="0" applyNumberFormat="1" applyFill="1" applyBorder="1" applyAlignment="1">
      <alignment horizontal="center"/>
    </xf>
    <xf numFmtId="167" fontId="0" fillId="0" borderId="2" xfId="0" applyNumberFormat="1" applyFill="1" applyBorder="1" applyAlignment="1">
      <alignment horizontal="right"/>
    </xf>
    <xf numFmtId="167" fontId="0" fillId="0" borderId="3" xfId="0" applyNumberFormat="1" applyFill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167" fontId="0" fillId="0" borderId="2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2" xfId="0" applyNumberForma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167" fontId="0" fillId="0" borderId="1" xfId="0" applyNumberFormat="1" applyFill="1" applyBorder="1" applyAlignment="1"/>
    <xf numFmtId="165" fontId="10" fillId="0" borderId="2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/>
    <xf numFmtId="165" fontId="10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78" zoomScaleNormal="78" workbookViewId="0">
      <selection activeCell="A2" sqref="A2:D2"/>
    </sheetView>
  </sheetViews>
  <sheetFormatPr defaultRowHeight="15" x14ac:dyDescent="0.25"/>
  <cols>
    <col min="1" max="1" width="12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2.28515625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8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9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9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59" t="s">
        <v>70</v>
      </c>
      <c r="R5" s="59" t="s">
        <v>71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20.100000000000001" customHeight="1" x14ac:dyDescent="0.25">
      <c r="A7" s="24">
        <v>44805</v>
      </c>
      <c r="B7" s="76">
        <v>2772.9</v>
      </c>
      <c r="C7" s="76">
        <v>897.8</v>
      </c>
      <c r="D7" s="25" t="s">
        <v>17</v>
      </c>
      <c r="E7" s="76" t="s">
        <v>23</v>
      </c>
      <c r="F7" s="83"/>
      <c r="G7" s="83"/>
      <c r="H7" s="83"/>
      <c r="I7" s="83"/>
      <c r="J7" s="85"/>
      <c r="K7" s="67" t="s">
        <v>66</v>
      </c>
      <c r="L7" s="69">
        <v>709</v>
      </c>
      <c r="M7" s="94"/>
      <c r="N7" s="94"/>
      <c r="O7" s="110">
        <v>709.26199999999994</v>
      </c>
      <c r="P7" s="73">
        <f>O7*P2</f>
        <v>3120.7528000000002</v>
      </c>
      <c r="Q7" s="69">
        <v>0</v>
      </c>
      <c r="R7" s="69"/>
      <c r="S7" s="96">
        <v>0</v>
      </c>
    </row>
    <row r="8" spans="1:19" ht="20.100000000000001" customHeight="1" x14ac:dyDescent="0.25">
      <c r="A8" s="24">
        <v>44805</v>
      </c>
      <c r="B8" s="77"/>
      <c r="C8" s="77"/>
      <c r="D8" s="25" t="s">
        <v>27</v>
      </c>
      <c r="E8" s="77"/>
      <c r="F8" s="84"/>
      <c r="G8" s="84"/>
      <c r="H8" s="84"/>
      <c r="I8" s="84"/>
      <c r="J8" s="86"/>
      <c r="K8" s="68"/>
      <c r="L8" s="70"/>
      <c r="M8" s="95"/>
      <c r="N8" s="95"/>
      <c r="O8" s="111"/>
      <c r="P8" s="74"/>
      <c r="Q8" s="70"/>
      <c r="R8" s="70"/>
      <c r="S8" s="96"/>
    </row>
    <row r="9" spans="1:19" ht="20.100000000000001" customHeight="1" x14ac:dyDescent="0.25">
      <c r="A9" s="24">
        <v>44835</v>
      </c>
      <c r="B9" s="76">
        <v>2772.9</v>
      </c>
      <c r="C9" s="76">
        <v>897.8</v>
      </c>
      <c r="D9" s="25" t="s">
        <v>17</v>
      </c>
      <c r="E9" s="76" t="s">
        <v>23</v>
      </c>
      <c r="F9" s="83">
        <f>3834.12+91.56</f>
        <v>3925.68</v>
      </c>
      <c r="G9" s="83">
        <f>4810+54+17</f>
        <v>4881</v>
      </c>
      <c r="H9" s="83">
        <f>14+15</f>
        <v>29</v>
      </c>
      <c r="I9" s="83">
        <f>F9-(G9+H9)</f>
        <v>-984.32000000000016</v>
      </c>
      <c r="J9" s="85">
        <f>I9</f>
        <v>-984.32000000000016</v>
      </c>
      <c r="K9" s="67" t="s">
        <v>65</v>
      </c>
      <c r="L9" s="69">
        <v>0</v>
      </c>
      <c r="M9" s="71"/>
      <c r="N9" s="71"/>
      <c r="O9" s="110">
        <v>709.26199999999994</v>
      </c>
      <c r="P9" s="73">
        <f>O9*P2</f>
        <v>3120.7528000000002</v>
      </c>
      <c r="Q9" s="114">
        <f>O9</f>
        <v>709.26199999999994</v>
      </c>
      <c r="R9" s="69"/>
      <c r="S9" s="96">
        <f>-(Q9*P2)</f>
        <v>-3120.7528000000002</v>
      </c>
    </row>
    <row r="10" spans="1:19" ht="20.100000000000001" customHeight="1" x14ac:dyDescent="0.25">
      <c r="A10" s="24">
        <v>44835</v>
      </c>
      <c r="B10" s="77"/>
      <c r="C10" s="77"/>
      <c r="D10" s="25" t="s">
        <v>27</v>
      </c>
      <c r="E10" s="77"/>
      <c r="F10" s="84"/>
      <c r="G10" s="84"/>
      <c r="H10" s="84"/>
      <c r="I10" s="84"/>
      <c r="J10" s="86"/>
      <c r="K10" s="68"/>
      <c r="L10" s="70"/>
      <c r="M10" s="72"/>
      <c r="N10" s="72"/>
      <c r="O10" s="111"/>
      <c r="P10" s="74"/>
      <c r="Q10" s="115"/>
      <c r="R10" s="70"/>
      <c r="S10" s="96"/>
    </row>
    <row r="11" spans="1:19" ht="20.100000000000001" customHeight="1" x14ac:dyDescent="0.25">
      <c r="A11" s="24">
        <v>44866</v>
      </c>
      <c r="B11" s="76">
        <v>2772.9</v>
      </c>
      <c r="C11" s="76">
        <v>897.8</v>
      </c>
      <c r="D11" s="25" t="s">
        <v>17</v>
      </c>
      <c r="E11" s="76" t="s">
        <v>23</v>
      </c>
      <c r="F11" s="83">
        <f>5146.88+98.48</f>
        <v>5245.36</v>
      </c>
      <c r="G11" s="83">
        <f>4610+44+15</f>
        <v>4669</v>
      </c>
      <c r="H11" s="83">
        <f>14+15</f>
        <v>29</v>
      </c>
      <c r="I11" s="83">
        <f>F11-(G11+H11)</f>
        <v>547.35999999999967</v>
      </c>
      <c r="J11" s="85">
        <f>(I9)+I11</f>
        <v>-436.96000000000049</v>
      </c>
      <c r="K11" s="80" t="s">
        <v>67</v>
      </c>
      <c r="L11" s="75">
        <v>0</v>
      </c>
      <c r="M11" s="76"/>
      <c r="N11" s="76"/>
      <c r="O11" s="112">
        <v>709.26199999999994</v>
      </c>
      <c r="P11" s="78">
        <f>O11*P2</f>
        <v>3120.7528000000002</v>
      </c>
      <c r="Q11" s="116">
        <f>O11</f>
        <v>709.26199999999994</v>
      </c>
      <c r="R11" s="75"/>
      <c r="S11" s="96">
        <f>-(Q11*P2)</f>
        <v>-3120.7528000000002</v>
      </c>
    </row>
    <row r="12" spans="1:19" ht="20.100000000000001" customHeight="1" x14ac:dyDescent="0.25">
      <c r="A12" s="24">
        <v>44866</v>
      </c>
      <c r="B12" s="77"/>
      <c r="C12" s="77"/>
      <c r="D12" s="25" t="s">
        <v>27</v>
      </c>
      <c r="E12" s="77"/>
      <c r="F12" s="84"/>
      <c r="G12" s="84"/>
      <c r="H12" s="84"/>
      <c r="I12" s="84"/>
      <c r="J12" s="86"/>
      <c r="K12" s="81"/>
      <c r="L12" s="66"/>
      <c r="M12" s="77"/>
      <c r="N12" s="77"/>
      <c r="O12" s="113"/>
      <c r="P12" s="79"/>
      <c r="Q12" s="117"/>
      <c r="R12" s="66"/>
      <c r="S12" s="96"/>
    </row>
    <row r="13" spans="1:19" ht="20.100000000000001" customHeight="1" x14ac:dyDescent="0.25">
      <c r="A13" s="24">
        <v>44896</v>
      </c>
      <c r="B13" s="76">
        <v>2772.9</v>
      </c>
      <c r="C13" s="76">
        <v>897.8</v>
      </c>
      <c r="D13" s="25" t="s">
        <v>17</v>
      </c>
      <c r="E13" s="76" t="s">
        <v>23</v>
      </c>
      <c r="F13" s="83">
        <f>101+5006</f>
        <v>5107</v>
      </c>
      <c r="G13" s="83">
        <f>3931+93+34</f>
        <v>4058</v>
      </c>
      <c r="H13" s="83">
        <f>14+15</f>
        <v>29</v>
      </c>
      <c r="I13" s="83">
        <f>F13-(G13+H13)</f>
        <v>1020</v>
      </c>
      <c r="J13" s="85">
        <v>1020</v>
      </c>
      <c r="K13" s="80" t="s">
        <v>68</v>
      </c>
      <c r="L13" s="87">
        <f>I13+J11</f>
        <v>583.03999999999951</v>
      </c>
      <c r="M13" s="88">
        <f>R13/C13</f>
        <v>0.34611049231454677</v>
      </c>
      <c r="N13" s="88">
        <f>M13*P3</f>
        <v>1.657869258186679</v>
      </c>
      <c r="O13" s="112">
        <v>709.26199999999994</v>
      </c>
      <c r="P13" s="78">
        <f>O13*P3</f>
        <v>3397.3649799999998</v>
      </c>
      <c r="Q13" s="65"/>
      <c r="R13" s="116">
        <f>J13-O13</f>
        <v>310.73800000000006</v>
      </c>
      <c r="S13" s="96">
        <f>R13*P3</f>
        <v>1488.4350200000003</v>
      </c>
    </row>
    <row r="14" spans="1:19" ht="20.100000000000001" customHeight="1" x14ac:dyDescent="0.25">
      <c r="A14" s="24">
        <v>44896</v>
      </c>
      <c r="B14" s="77"/>
      <c r="C14" s="77"/>
      <c r="D14" s="25" t="s">
        <v>27</v>
      </c>
      <c r="E14" s="77"/>
      <c r="F14" s="84"/>
      <c r="G14" s="84"/>
      <c r="H14" s="84"/>
      <c r="I14" s="84"/>
      <c r="J14" s="86"/>
      <c r="K14" s="81"/>
      <c r="L14" s="66"/>
      <c r="M14" s="89"/>
      <c r="N14" s="89"/>
      <c r="O14" s="113"/>
      <c r="P14" s="79"/>
      <c r="Q14" s="66"/>
      <c r="R14" s="117"/>
      <c r="S14" s="96"/>
    </row>
    <row r="15" spans="1:19" x14ac:dyDescent="0.25">
      <c r="A15" s="1"/>
      <c r="B15" s="1"/>
      <c r="C15" s="1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28"/>
      <c r="S15" s="19">
        <f>SUM(S7:S14)</f>
        <v>-4753.0705799999996</v>
      </c>
    </row>
    <row r="16" spans="1:19" x14ac:dyDescent="0.25">
      <c r="B16" s="1"/>
      <c r="C16" s="1"/>
      <c r="S16" s="18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  <row r="26" spans="2:3" x14ac:dyDescent="0.25">
      <c r="B26" s="1"/>
      <c r="C26" s="1"/>
    </row>
    <row r="27" spans="2:3" x14ac:dyDescent="0.25">
      <c r="B27" s="1"/>
      <c r="C27" s="1"/>
    </row>
    <row r="28" spans="2:3" x14ac:dyDescent="0.25">
      <c r="B28" s="1"/>
      <c r="C28" s="1"/>
    </row>
  </sheetData>
  <sheetProtection algorithmName="SHA-512" hashValue="85hK+DpwpuimJVuZNPa6+VShfA4dFXNEV/5V64YKmjsBKUWKLHuQp/VrqUGdczxsy0qtavoZSKYSNuvROAVhAA==" saltValue="8BLndVHORzSr49anU2ooIA==" spinCount="100000" sheet="1" objects="1" scenarios="1" selectLockedCells="1" selectUnlockedCells="1"/>
  <mergeCells count="89">
    <mergeCell ref="A1:S1"/>
    <mergeCell ref="S4:S5"/>
    <mergeCell ref="S7:S8"/>
    <mergeCell ref="S9:S10"/>
    <mergeCell ref="S11:S12"/>
    <mergeCell ref="M7:M8"/>
    <mergeCell ref="L7:L8"/>
    <mergeCell ref="K7:K8"/>
    <mergeCell ref="F7:F8"/>
    <mergeCell ref="G7:G8"/>
    <mergeCell ref="F11:F12"/>
    <mergeCell ref="G11:G12"/>
    <mergeCell ref="H11:H12"/>
    <mergeCell ref="I11:I12"/>
    <mergeCell ref="J7:J8"/>
    <mergeCell ref="J9:J10"/>
    <mergeCell ref="S13:S14"/>
    <mergeCell ref="Q4:R4"/>
    <mergeCell ref="O4:O5"/>
    <mergeCell ref="I4:I5"/>
    <mergeCell ref="B4:B5"/>
    <mergeCell ref="M4:M5"/>
    <mergeCell ref="N4:N5"/>
    <mergeCell ref="P4:P5"/>
    <mergeCell ref="K4:L4"/>
    <mergeCell ref="H4:H5"/>
    <mergeCell ref="J4:J5"/>
    <mergeCell ref="B13:B14"/>
    <mergeCell ref="C13:C14"/>
    <mergeCell ref="E7:E8"/>
    <mergeCell ref="E9:E10"/>
    <mergeCell ref="E11:E12"/>
    <mergeCell ref="E13:E14"/>
    <mergeCell ref="B9:B10"/>
    <mergeCell ref="B7:B8"/>
    <mergeCell ref="C7:C8"/>
    <mergeCell ref="C9:C10"/>
    <mergeCell ref="B11:B12"/>
    <mergeCell ref="C11:C12"/>
    <mergeCell ref="P9:P10"/>
    <mergeCell ref="Q9:Q10"/>
    <mergeCell ref="J11:J12"/>
    <mergeCell ref="N7:N8"/>
    <mergeCell ref="O7:O8"/>
    <mergeCell ref="P7:P8"/>
    <mergeCell ref="Q7:Q8"/>
    <mergeCell ref="O13:O14"/>
    <mergeCell ref="P13:P14"/>
    <mergeCell ref="R7:R8"/>
    <mergeCell ref="A2:D2"/>
    <mergeCell ref="F9:F10"/>
    <mergeCell ref="G9:G10"/>
    <mergeCell ref="H9:H10"/>
    <mergeCell ref="I9:I10"/>
    <mergeCell ref="H7:H8"/>
    <mergeCell ref="I7:I8"/>
    <mergeCell ref="A4:A5"/>
    <mergeCell ref="D4:D5"/>
    <mergeCell ref="E4:E5"/>
    <mergeCell ref="F4:F5"/>
    <mergeCell ref="G4:G5"/>
    <mergeCell ref="C4:C5"/>
    <mergeCell ref="J2:N2"/>
    <mergeCell ref="J3:N3"/>
    <mergeCell ref="F13:F14"/>
    <mergeCell ref="G13:G14"/>
    <mergeCell ref="H13:H14"/>
    <mergeCell ref="I13:I14"/>
    <mergeCell ref="K13:K14"/>
    <mergeCell ref="J13:J14"/>
    <mergeCell ref="L13:L14"/>
    <mergeCell ref="M13:M14"/>
    <mergeCell ref="N13:N14"/>
    <mergeCell ref="Q13:Q14"/>
    <mergeCell ref="R13:R14"/>
    <mergeCell ref="K9:K10"/>
    <mergeCell ref="L9:L10"/>
    <mergeCell ref="M9:M10"/>
    <mergeCell ref="N9:N10"/>
    <mergeCell ref="O9:O10"/>
    <mergeCell ref="L11:L12"/>
    <mergeCell ref="M11:M12"/>
    <mergeCell ref="N11:N12"/>
    <mergeCell ref="O11:O12"/>
    <mergeCell ref="P11:P12"/>
    <mergeCell ref="K11:K12"/>
    <mergeCell ref="R9:R10"/>
    <mergeCell ref="Q11:Q12"/>
    <mergeCell ref="R11:R12"/>
  </mergeCells>
  <phoneticPr fontId="5" type="noConversion"/>
  <pageMargins left="0.25" right="0.25" top="0.75" bottom="0.75" header="0.3" footer="0.3"/>
  <pageSetup paperSize="9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10.42578125" style="3" bestFit="1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39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1878.5</v>
      </c>
      <c r="C7" s="13">
        <v>881.9</v>
      </c>
      <c r="D7" s="25" t="s">
        <v>40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635</v>
      </c>
      <c r="M7" s="40"/>
      <c r="N7" s="40"/>
      <c r="O7" s="132">
        <v>634.96400000000006</v>
      </c>
      <c r="P7" s="41">
        <f>O7*P2</f>
        <v>2793.8416000000007</v>
      </c>
      <c r="Q7" s="48"/>
      <c r="R7" s="48"/>
      <c r="S7" s="33">
        <v>0</v>
      </c>
    </row>
    <row r="8" spans="1:19" ht="39.75" customHeight="1" x14ac:dyDescent="0.25">
      <c r="A8" s="24">
        <v>44835</v>
      </c>
      <c r="B8" s="13">
        <v>1878.5</v>
      </c>
      <c r="C8" s="13">
        <v>881.9</v>
      </c>
      <c r="D8" s="25" t="s">
        <v>40</v>
      </c>
      <c r="E8" s="13" t="s">
        <v>23</v>
      </c>
      <c r="F8" s="14">
        <v>5288.92</v>
      </c>
      <c r="G8" s="14">
        <f>3572+300+123</f>
        <v>3995</v>
      </c>
      <c r="H8" s="14">
        <f>14+15</f>
        <v>29</v>
      </c>
      <c r="I8" s="14">
        <f>F8-(G8+H8)</f>
        <v>1264.92</v>
      </c>
      <c r="J8" s="38">
        <v>1265</v>
      </c>
      <c r="K8" s="42" t="s">
        <v>65</v>
      </c>
      <c r="L8" s="49">
        <v>1265</v>
      </c>
      <c r="M8" s="44">
        <f>R8/C8</f>
        <v>0.71440752919832173</v>
      </c>
      <c r="N8" s="44">
        <f>M8*P2</f>
        <v>3.1433931284726158</v>
      </c>
      <c r="O8" s="132">
        <v>634.96400000000006</v>
      </c>
      <c r="P8" s="41">
        <f>O8*P2</f>
        <v>2793.8416000000007</v>
      </c>
      <c r="Q8" s="50"/>
      <c r="R8" s="133">
        <f>J8-O8</f>
        <v>630.03599999999994</v>
      </c>
      <c r="S8" s="33">
        <f>R8*P2</f>
        <v>2772.1583999999998</v>
      </c>
    </row>
    <row r="9" spans="1:19" ht="39.75" customHeight="1" x14ac:dyDescent="0.25">
      <c r="A9" s="24">
        <v>44866</v>
      </c>
      <c r="B9" s="13">
        <v>1878.5</v>
      </c>
      <c r="C9" s="13">
        <v>881.9</v>
      </c>
      <c r="D9" s="25" t="s">
        <v>40</v>
      </c>
      <c r="E9" s="13" t="s">
        <v>23</v>
      </c>
      <c r="F9" s="9">
        <v>3566.28</v>
      </c>
      <c r="G9" s="5">
        <f>3329+295+122</f>
        <v>3746</v>
      </c>
      <c r="H9" s="5">
        <f>14+15</f>
        <v>29</v>
      </c>
      <c r="I9" s="14">
        <f t="shared" ref="I9:I10" si="0">F9-(G9+H9)</f>
        <v>-208.7199999999998</v>
      </c>
      <c r="J9" s="38">
        <f>I9</f>
        <v>-208.7199999999998</v>
      </c>
      <c r="K9" s="42" t="s">
        <v>67</v>
      </c>
      <c r="L9" s="49">
        <v>0</v>
      </c>
      <c r="M9" s="43"/>
      <c r="N9" s="43"/>
      <c r="O9" s="41"/>
      <c r="P9" s="46">
        <f>O9*P2</f>
        <v>0</v>
      </c>
      <c r="Q9" s="51"/>
      <c r="R9" s="102" t="s">
        <v>61</v>
      </c>
      <c r="S9" s="103"/>
    </row>
    <row r="10" spans="1:19" ht="39.75" customHeight="1" x14ac:dyDescent="0.25">
      <c r="A10" s="24">
        <v>44896</v>
      </c>
      <c r="B10" s="5">
        <v>1878.5</v>
      </c>
      <c r="C10" s="5">
        <v>881.9</v>
      </c>
      <c r="D10" s="25" t="s">
        <v>40</v>
      </c>
      <c r="E10" s="5" t="s">
        <v>23</v>
      </c>
      <c r="F10" s="5">
        <v>3106</v>
      </c>
      <c r="G10" s="5">
        <f>3373+308+146</f>
        <v>3827</v>
      </c>
      <c r="H10" s="5">
        <f>14+15</f>
        <v>29</v>
      </c>
      <c r="I10" s="8">
        <f t="shared" si="0"/>
        <v>-750</v>
      </c>
      <c r="J10" s="38">
        <f>I10+J9</f>
        <v>-958.7199999999998</v>
      </c>
      <c r="K10" s="42" t="s">
        <v>68</v>
      </c>
      <c r="L10" s="49">
        <v>0</v>
      </c>
      <c r="M10" s="43"/>
      <c r="N10" s="43"/>
      <c r="O10" s="46"/>
      <c r="P10" s="46">
        <f>O10*P2</f>
        <v>0</v>
      </c>
      <c r="Q10" s="50"/>
      <c r="R10" s="108"/>
      <c r="S10" s="109"/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6"/>
      <c r="R11" s="27"/>
      <c r="S11" s="34">
        <f>S8</f>
        <v>2772.1583999999998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 t="s">
        <v>41</v>
      </c>
      <c r="P12" s="26"/>
      <c r="Q12" s="26"/>
      <c r="R12" s="28"/>
      <c r="S12" s="22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flvw1NRSpoyFSY1mNDNfr/weEuPO3vzGakDxkxU3HgNBab96xhMLiBT4CD1Q5vq6MraJmyF0meiu/lOQgmiCXg==" saltValue="itCGVz9zLcGPeb+hljwhMw==" spinCount="100000" sheet="1" objects="1" scenarios="1" selectLockedCells="1" selectUnlockedCells="1"/>
  <mergeCells count="23">
    <mergeCell ref="S4:S5"/>
    <mergeCell ref="A1:S1"/>
    <mergeCell ref="R10:S10"/>
    <mergeCell ref="R9:S9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10.42578125" style="3" bestFit="1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42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3111.3</v>
      </c>
      <c r="C7" s="13">
        <v>793.4</v>
      </c>
      <c r="D7" s="25" t="s">
        <v>34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579</v>
      </c>
      <c r="M7" s="40"/>
      <c r="N7" s="40"/>
      <c r="O7" s="132">
        <v>579.18299999999999</v>
      </c>
      <c r="P7" s="41">
        <f>O7*P2</f>
        <v>2548.4052000000001</v>
      </c>
      <c r="Q7" s="40"/>
      <c r="R7" s="40"/>
      <c r="S7" s="20">
        <v>0</v>
      </c>
    </row>
    <row r="8" spans="1:19" ht="39.75" customHeight="1" x14ac:dyDescent="0.25">
      <c r="A8" s="24">
        <v>44835</v>
      </c>
      <c r="B8" s="13">
        <v>3111.3</v>
      </c>
      <c r="C8" s="13">
        <v>793.4</v>
      </c>
      <c r="D8" s="25" t="s">
        <v>34</v>
      </c>
      <c r="E8" s="13" t="s">
        <v>23</v>
      </c>
      <c r="F8" s="14">
        <v>11025.56</v>
      </c>
      <c r="G8" s="14">
        <f>7827+561+409</f>
        <v>8797</v>
      </c>
      <c r="H8" s="14">
        <f>388+15+14+15</f>
        <v>432</v>
      </c>
      <c r="I8" s="14">
        <f>F8-(G8+H8)</f>
        <v>1796.5599999999995</v>
      </c>
      <c r="J8" s="38">
        <v>1797</v>
      </c>
      <c r="K8" s="42" t="s">
        <v>65</v>
      </c>
      <c r="L8" s="49">
        <v>1797</v>
      </c>
      <c r="M8" s="44">
        <f>L8*(1/B8)</f>
        <v>0.57757207598110116</v>
      </c>
      <c r="N8" s="44">
        <f>M8*P2</f>
        <v>2.5413171343168455</v>
      </c>
      <c r="O8" s="132">
        <v>579.18299999999999</v>
      </c>
      <c r="P8" s="41">
        <f>O8*P2</f>
        <v>2548.4052000000001</v>
      </c>
      <c r="Q8" s="43"/>
      <c r="R8" s="120">
        <f>J8-O8</f>
        <v>1217.817</v>
      </c>
      <c r="S8" s="20">
        <f>R8*P2</f>
        <v>5358.3948</v>
      </c>
    </row>
    <row r="9" spans="1:19" ht="39.75" customHeight="1" x14ac:dyDescent="0.25">
      <c r="A9" s="24">
        <v>44866</v>
      </c>
      <c r="B9" s="13">
        <v>3111.3</v>
      </c>
      <c r="C9" s="13">
        <v>793.4</v>
      </c>
      <c r="D9" s="25" t="s">
        <v>34</v>
      </c>
      <c r="E9" s="13" t="s">
        <v>23</v>
      </c>
      <c r="F9" s="9">
        <v>10614.24</v>
      </c>
      <c r="G9" s="9">
        <f>6951+455+111</f>
        <v>7517</v>
      </c>
      <c r="H9" s="9">
        <f>15+14+15+432</f>
        <v>476</v>
      </c>
      <c r="I9" s="10">
        <f t="shared" ref="I9:I10" si="0">F9-(G9+H9)</f>
        <v>2621.2399999999998</v>
      </c>
      <c r="J9" s="38">
        <v>2621</v>
      </c>
      <c r="K9" s="42" t="s">
        <v>67</v>
      </c>
      <c r="L9" s="49">
        <v>2621</v>
      </c>
      <c r="M9" s="43"/>
      <c r="N9" s="43"/>
      <c r="O9" s="41"/>
      <c r="P9" s="46">
        <f>O9*P2</f>
        <v>0</v>
      </c>
      <c r="Q9" s="43"/>
      <c r="R9" s="102" t="s">
        <v>59</v>
      </c>
      <c r="S9" s="103"/>
    </row>
    <row r="10" spans="1:19" ht="39.75" customHeight="1" x14ac:dyDescent="0.25">
      <c r="A10" s="24">
        <v>44896</v>
      </c>
      <c r="B10" s="5">
        <v>3111.3</v>
      </c>
      <c r="C10" s="5">
        <v>793.4</v>
      </c>
      <c r="D10" s="25" t="s">
        <v>34</v>
      </c>
      <c r="E10" s="5" t="s">
        <v>23</v>
      </c>
      <c r="F10" s="9">
        <v>9427</v>
      </c>
      <c r="G10" s="9">
        <f>7258+446+275</f>
        <v>7979</v>
      </c>
      <c r="H10" s="9">
        <f>405+15+14+15</f>
        <v>449</v>
      </c>
      <c r="I10" s="9">
        <f t="shared" si="0"/>
        <v>999</v>
      </c>
      <c r="J10" s="38">
        <v>999</v>
      </c>
      <c r="K10" s="42" t="s">
        <v>68</v>
      </c>
      <c r="L10" s="49">
        <v>999</v>
      </c>
      <c r="M10" s="43"/>
      <c r="N10" s="43"/>
      <c r="O10" s="46"/>
      <c r="P10" s="46">
        <f>O10*P2</f>
        <v>0</v>
      </c>
      <c r="Q10" s="43"/>
      <c r="R10" s="108"/>
      <c r="S10" s="109"/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6"/>
      <c r="R11" s="57"/>
      <c r="S11" s="58">
        <f>S8+S7</f>
        <v>5358.3948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6"/>
      <c r="S12" s="21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TQC2szpGmUFkIwg89YgQQgMdbeznMGrCaBOtENjSZOKh2s9uPembwiMbq9RC9quMpQ+2X5cvdS/QiFpqkUazmg==" saltValue="7wyfd7MUldSTseeoaU79EQ==" spinCount="100000" sheet="1" objects="1" scenarios="1" selectLockedCells="1" selectUnlockedCells="1"/>
  <mergeCells count="23">
    <mergeCell ref="S4:S5"/>
    <mergeCell ref="A1:S1"/>
    <mergeCell ref="R9:S9"/>
    <mergeCell ref="R10:S10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43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1552.9</v>
      </c>
      <c r="C7" s="13">
        <v>825.6</v>
      </c>
      <c r="D7" s="25" t="s">
        <v>44</v>
      </c>
      <c r="E7" s="13" t="s">
        <v>23</v>
      </c>
      <c r="F7" s="14"/>
      <c r="G7" s="14"/>
      <c r="H7" s="14"/>
      <c r="I7" s="14"/>
      <c r="J7" s="38"/>
      <c r="K7" s="39" t="s">
        <v>66</v>
      </c>
      <c r="L7" s="63">
        <v>603</v>
      </c>
      <c r="M7" s="40"/>
      <c r="N7" s="40"/>
      <c r="O7" s="132">
        <v>602.68499999999995</v>
      </c>
      <c r="P7" s="41">
        <f>O7*P2</f>
        <v>2651.8139999999999</v>
      </c>
      <c r="Q7" s="40"/>
      <c r="R7" s="40"/>
      <c r="S7" s="20">
        <v>0</v>
      </c>
    </row>
    <row r="8" spans="1:19" ht="39.75" customHeight="1" x14ac:dyDescent="0.25">
      <c r="A8" s="24">
        <v>44835</v>
      </c>
      <c r="B8" s="13">
        <v>1552.9</v>
      </c>
      <c r="C8" s="13">
        <v>825.6</v>
      </c>
      <c r="D8" s="25" t="s">
        <v>44</v>
      </c>
      <c r="E8" s="13" t="s">
        <v>23</v>
      </c>
      <c r="F8" s="14">
        <v>2908.86</v>
      </c>
      <c r="G8" s="14">
        <f>2274+152+93</f>
        <v>2519</v>
      </c>
      <c r="H8" s="14">
        <f>16+17+15</f>
        <v>48</v>
      </c>
      <c r="I8" s="14">
        <f>F8-(G8+H8)</f>
        <v>341.86000000000013</v>
      </c>
      <c r="J8" s="38">
        <v>342</v>
      </c>
      <c r="K8" s="42" t="s">
        <v>65</v>
      </c>
      <c r="L8" s="64">
        <v>342</v>
      </c>
      <c r="M8" s="44"/>
      <c r="N8" s="44"/>
      <c r="O8" s="132">
        <v>602.68499999999995</v>
      </c>
      <c r="P8" s="41">
        <f>O8*P2</f>
        <v>2651.8139999999999</v>
      </c>
      <c r="Q8" s="120">
        <f>O8-L8</f>
        <v>260.68499999999995</v>
      </c>
      <c r="R8" s="120"/>
      <c r="S8" s="20">
        <f>-(Q8*P2)</f>
        <v>-1147.0139999999999</v>
      </c>
    </row>
    <row r="9" spans="1:19" ht="39.75" customHeight="1" x14ac:dyDescent="0.25">
      <c r="A9" s="24">
        <v>44866</v>
      </c>
      <c r="B9" s="13">
        <v>1552.9</v>
      </c>
      <c r="C9" s="13">
        <v>825.6</v>
      </c>
      <c r="D9" s="25" t="s">
        <v>44</v>
      </c>
      <c r="E9" s="13" t="s">
        <v>23</v>
      </c>
      <c r="F9" s="9">
        <v>3708.6</v>
      </c>
      <c r="G9" s="5">
        <f>1834+213+134</f>
        <v>2181</v>
      </c>
      <c r="H9" s="5">
        <f>16+17+15</f>
        <v>48</v>
      </c>
      <c r="I9" s="14">
        <f t="shared" ref="I9:I10" si="0">F9-(G9+H9)</f>
        <v>1479.6</v>
      </c>
      <c r="J9" s="38">
        <v>1480</v>
      </c>
      <c r="K9" s="42" t="s">
        <v>67</v>
      </c>
      <c r="L9" s="64">
        <v>1480</v>
      </c>
      <c r="M9" s="44">
        <f t="shared" ref="M9" si="1">L9*(1/B9)</f>
        <v>0.9530555734432351</v>
      </c>
      <c r="N9" s="44">
        <f>M9*P2</f>
        <v>4.1934445231502346</v>
      </c>
      <c r="O9" s="132">
        <v>602.68499999999995</v>
      </c>
      <c r="P9" s="46">
        <f>O9*P2</f>
        <v>2651.8139999999999</v>
      </c>
      <c r="Q9" s="120"/>
      <c r="R9" s="120">
        <f>J9-O9</f>
        <v>877.31500000000005</v>
      </c>
      <c r="S9" s="20">
        <f>R9*P2</f>
        <v>3860.1860000000006</v>
      </c>
    </row>
    <row r="10" spans="1:19" ht="39.75" customHeight="1" x14ac:dyDescent="0.25">
      <c r="A10" s="24">
        <v>44896</v>
      </c>
      <c r="B10" s="5">
        <v>1552.9</v>
      </c>
      <c r="C10" s="5">
        <v>825.6</v>
      </c>
      <c r="D10" s="25" t="s">
        <v>44</v>
      </c>
      <c r="E10" s="5" t="s">
        <v>23</v>
      </c>
      <c r="F10" s="23">
        <f>3358</f>
        <v>3358</v>
      </c>
      <c r="G10" s="5">
        <f>2829+137+85</f>
        <v>3051</v>
      </c>
      <c r="H10" s="5">
        <f>16+17+15</f>
        <v>48</v>
      </c>
      <c r="I10" s="8">
        <f t="shared" si="0"/>
        <v>259</v>
      </c>
      <c r="J10" s="38">
        <v>259</v>
      </c>
      <c r="K10" s="42" t="s">
        <v>68</v>
      </c>
      <c r="L10" s="64">
        <f>J10</f>
        <v>259</v>
      </c>
      <c r="M10" s="44"/>
      <c r="N10" s="44"/>
      <c r="O10" s="134">
        <v>602.68499999999995</v>
      </c>
      <c r="P10" s="46">
        <f>O10*P2</f>
        <v>2651.8139999999999</v>
      </c>
      <c r="Q10" s="120">
        <f>O10-I10</f>
        <v>343.68499999999995</v>
      </c>
      <c r="R10" s="120"/>
      <c r="S10" s="20">
        <f>-(Q10*P3)</f>
        <v>-1646.2511499999998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30"/>
      <c r="R11" s="27"/>
      <c r="S11" s="34">
        <f>SUM(S7:S10)</f>
        <v>1066.9208500000007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8"/>
      <c r="S12" s="22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Yq+zbX2ms3HkSzbxXVB5x0utUVA6eiLcTow/hu3CQsLXA8GLhiroxuk8eOvlfQ0UAW0LQGp/ecDF40+gPbVCyg==" saltValue="oX4xiWM7FryypWNbED83+Q==" spinCount="100000" sheet="1" objects="1" scenarios="1" selectLockedCells="1" selectUnlockedCells="1"/>
  <mergeCells count="21">
    <mergeCell ref="S4:S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45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3177.6</v>
      </c>
      <c r="C7" s="13">
        <v>988.7</v>
      </c>
      <c r="D7" s="25" t="s">
        <v>46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722</v>
      </c>
      <c r="M7" s="40"/>
      <c r="N7" s="40"/>
      <c r="O7" s="132">
        <v>721.75300000000004</v>
      </c>
      <c r="P7" s="41">
        <f>O7*P2</f>
        <v>3175.7132000000006</v>
      </c>
      <c r="Q7" s="40"/>
      <c r="R7" s="40"/>
      <c r="S7" s="20">
        <v>0</v>
      </c>
    </row>
    <row r="8" spans="1:19" ht="39.75" customHeight="1" x14ac:dyDescent="0.25">
      <c r="A8" s="24">
        <v>44835</v>
      </c>
      <c r="B8" s="13">
        <v>3177.6</v>
      </c>
      <c r="C8" s="13">
        <v>988.7</v>
      </c>
      <c r="D8" s="25" t="s">
        <v>46</v>
      </c>
      <c r="E8" s="13" t="s">
        <v>23</v>
      </c>
      <c r="F8" s="14">
        <v>5562.88</v>
      </c>
      <c r="G8" s="14">
        <f>5975+72+29</f>
        <v>6076</v>
      </c>
      <c r="H8" s="14">
        <f>1620+34+28+15</f>
        <v>1697</v>
      </c>
      <c r="I8" s="14">
        <f>F8-(G8+H8)</f>
        <v>-2210.12</v>
      </c>
      <c r="J8" s="38">
        <f>I8</f>
        <v>-2210.12</v>
      </c>
      <c r="K8" s="42" t="s">
        <v>65</v>
      </c>
      <c r="L8" s="49">
        <v>0</v>
      </c>
      <c r="M8" s="44">
        <f>L8*(1/B8)</f>
        <v>0</v>
      </c>
      <c r="N8" s="44">
        <f>M8*P2</f>
        <v>0</v>
      </c>
      <c r="O8" s="132">
        <v>721.75300000000004</v>
      </c>
      <c r="P8" s="41">
        <f>O8*P2</f>
        <v>3175.7132000000006</v>
      </c>
      <c r="Q8" s="120">
        <f>O8</f>
        <v>721.75300000000004</v>
      </c>
      <c r="R8" s="43"/>
      <c r="S8" s="20">
        <f>-(Q8*P2)</f>
        <v>-3175.7132000000006</v>
      </c>
    </row>
    <row r="9" spans="1:19" ht="39.75" customHeight="1" x14ac:dyDescent="0.25">
      <c r="A9" s="24">
        <v>44866</v>
      </c>
      <c r="B9" s="13">
        <v>3177.6</v>
      </c>
      <c r="C9" s="13">
        <v>988.7</v>
      </c>
      <c r="D9" s="25" t="s">
        <v>46</v>
      </c>
      <c r="E9" s="13" t="s">
        <v>23</v>
      </c>
      <c r="F9" s="9">
        <v>6281.04</v>
      </c>
      <c r="G9" s="5">
        <f>6387+72+29</f>
        <v>6488</v>
      </c>
      <c r="H9" s="5">
        <f>34+28+15</f>
        <v>77</v>
      </c>
      <c r="I9" s="14">
        <f t="shared" ref="I9:I10" si="0">F9-(G9+H9)</f>
        <v>-283.96000000000004</v>
      </c>
      <c r="J9" s="38">
        <f>J8+I9</f>
        <v>-2494.08</v>
      </c>
      <c r="K9" s="42" t="s">
        <v>67</v>
      </c>
      <c r="L9" s="49">
        <v>0</v>
      </c>
      <c r="M9" s="43"/>
      <c r="N9" s="43"/>
      <c r="O9" s="132">
        <v>721.75300000000004</v>
      </c>
      <c r="P9" s="46">
        <f>O9*P2</f>
        <v>3175.7132000000006</v>
      </c>
      <c r="Q9" s="120">
        <f>O9</f>
        <v>721.75300000000004</v>
      </c>
      <c r="R9" s="43"/>
      <c r="S9" s="20">
        <f>-(Q9*P2)</f>
        <v>-3175.7132000000006</v>
      </c>
    </row>
    <row r="10" spans="1:19" ht="39.75" customHeight="1" x14ac:dyDescent="0.25">
      <c r="A10" s="24">
        <v>44896</v>
      </c>
      <c r="B10" s="5">
        <v>3177.6</v>
      </c>
      <c r="C10" s="5">
        <v>988.7</v>
      </c>
      <c r="D10" s="25" t="s">
        <v>46</v>
      </c>
      <c r="E10" s="5" t="s">
        <v>23</v>
      </c>
      <c r="F10" s="9">
        <v>5907</v>
      </c>
      <c r="G10" s="5">
        <f>4027+560+317</f>
        <v>4904</v>
      </c>
      <c r="H10" s="5">
        <f>34+28+15</f>
        <v>77</v>
      </c>
      <c r="I10" s="8">
        <f t="shared" si="0"/>
        <v>926</v>
      </c>
      <c r="J10" s="38">
        <f>J9+I10</f>
        <v>-1568.08</v>
      </c>
      <c r="K10" s="42" t="s">
        <v>68</v>
      </c>
      <c r="L10" s="49">
        <v>0</v>
      </c>
      <c r="M10" s="43"/>
      <c r="N10" s="43"/>
      <c r="O10" s="134">
        <v>721.75300000000004</v>
      </c>
      <c r="P10" s="46">
        <f>O10*P2</f>
        <v>3175.7132000000006</v>
      </c>
      <c r="Q10" s="120">
        <f>O10</f>
        <v>721.75300000000004</v>
      </c>
      <c r="R10" s="45"/>
      <c r="S10" s="20">
        <f>Q10*P3</f>
        <v>3457.1968700000002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6"/>
      <c r="R11" s="27"/>
      <c r="S11" s="34">
        <f>SUM(S7:S10)</f>
        <v>-2894.229530000001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8"/>
      <c r="S12" s="22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1paZt6gXfY7hbnxns9B/GQftQgt461lwYq3jvs2fUi6zJWDqNwDIqaSA5f0CLS9fbvnchhoGpBEs96qQ0jFG3A==" saltValue="Ez8HAaXLpO3/spF0RWdBLg==" spinCount="100000" sheet="1" objects="1" scenarios="1" selectLockedCells="1" selectUnlockedCells="1"/>
  <mergeCells count="21">
    <mergeCell ref="S4:S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zoomScale="77" zoomScaleNormal="77" workbookViewId="0">
      <selection activeCell="R13" sqref="R13:R14"/>
    </sheetView>
  </sheetViews>
  <sheetFormatPr defaultRowHeight="15" x14ac:dyDescent="0.25"/>
  <cols>
    <col min="1" max="1" width="13.85546875" style="3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47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9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58</v>
      </c>
      <c r="N4" s="97" t="s">
        <v>57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9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20.100000000000001" customHeight="1" x14ac:dyDescent="0.25">
      <c r="A7" s="24">
        <v>44805</v>
      </c>
      <c r="B7" s="76">
        <v>8002.7</v>
      </c>
      <c r="C7" s="76">
        <v>2486</v>
      </c>
      <c r="D7" s="25" t="s">
        <v>48</v>
      </c>
      <c r="E7" s="76" t="s">
        <v>23</v>
      </c>
      <c r="F7" s="83"/>
      <c r="G7" s="83"/>
      <c r="H7" s="83"/>
      <c r="I7" s="83"/>
      <c r="J7" s="85"/>
      <c r="K7" s="67" t="s">
        <v>66</v>
      </c>
      <c r="L7" s="69">
        <v>1999</v>
      </c>
      <c r="M7" s="94"/>
      <c r="N7" s="94"/>
      <c r="O7" s="110">
        <v>1988.4549999999999</v>
      </c>
      <c r="P7" s="73">
        <f>O7*P2</f>
        <v>8749.2020000000011</v>
      </c>
      <c r="Q7" s="69">
        <v>0</v>
      </c>
      <c r="R7" s="69">
        <v>0</v>
      </c>
      <c r="S7" s="96">
        <v>0</v>
      </c>
    </row>
    <row r="8" spans="1:19" ht="20.100000000000001" customHeight="1" x14ac:dyDescent="0.25">
      <c r="A8" s="24">
        <v>44805</v>
      </c>
      <c r="B8" s="77"/>
      <c r="C8" s="77"/>
      <c r="D8" s="25" t="s">
        <v>49</v>
      </c>
      <c r="E8" s="77"/>
      <c r="F8" s="84"/>
      <c r="G8" s="84"/>
      <c r="H8" s="84"/>
      <c r="I8" s="84"/>
      <c r="J8" s="86"/>
      <c r="K8" s="68"/>
      <c r="L8" s="70"/>
      <c r="M8" s="95"/>
      <c r="N8" s="95"/>
      <c r="O8" s="111"/>
      <c r="P8" s="74"/>
      <c r="Q8" s="70"/>
      <c r="R8" s="70"/>
      <c r="S8" s="96"/>
    </row>
    <row r="9" spans="1:19" ht="20.100000000000001" customHeight="1" x14ac:dyDescent="0.25">
      <c r="A9" s="24">
        <v>44835</v>
      </c>
      <c r="B9" s="76">
        <v>8002.7</v>
      </c>
      <c r="C9" s="76">
        <v>2486</v>
      </c>
      <c r="D9" s="25" t="s">
        <v>48</v>
      </c>
      <c r="E9" s="76" t="s">
        <v>23</v>
      </c>
      <c r="F9" s="83">
        <f>5680.86+9336.24</f>
        <v>15017.099999999999</v>
      </c>
      <c r="G9" s="83">
        <f>13111+734+347</f>
        <v>14192</v>
      </c>
      <c r="H9" s="83">
        <f>50+144+18+27+15+15+15</f>
        <v>284</v>
      </c>
      <c r="I9" s="83">
        <f>F9-(G9+H9)</f>
        <v>541.09999999999854</v>
      </c>
      <c r="J9" s="85">
        <v>541</v>
      </c>
      <c r="K9" s="67" t="s">
        <v>65</v>
      </c>
      <c r="L9" s="69">
        <v>541</v>
      </c>
      <c r="M9" s="71"/>
      <c r="N9" s="71"/>
      <c r="O9" s="110">
        <v>1988.4549999999999</v>
      </c>
      <c r="P9" s="73">
        <f>O9*P2</f>
        <v>8749.2020000000011</v>
      </c>
      <c r="Q9" s="114">
        <f>O9-J9</f>
        <v>1447.4549999999999</v>
      </c>
      <c r="R9" s="114">
        <v>0</v>
      </c>
      <c r="S9" s="96">
        <f>-(Q9*P2)</f>
        <v>-6368.8020000000006</v>
      </c>
    </row>
    <row r="10" spans="1:19" ht="20.100000000000001" customHeight="1" x14ac:dyDescent="0.25">
      <c r="A10" s="24">
        <v>44835</v>
      </c>
      <c r="B10" s="77"/>
      <c r="C10" s="77"/>
      <c r="D10" s="25" t="s">
        <v>49</v>
      </c>
      <c r="E10" s="77"/>
      <c r="F10" s="84"/>
      <c r="G10" s="84"/>
      <c r="H10" s="84"/>
      <c r="I10" s="84"/>
      <c r="J10" s="86"/>
      <c r="K10" s="68"/>
      <c r="L10" s="70"/>
      <c r="M10" s="72"/>
      <c r="N10" s="72"/>
      <c r="O10" s="111"/>
      <c r="P10" s="74"/>
      <c r="Q10" s="115"/>
      <c r="R10" s="115"/>
      <c r="S10" s="96"/>
    </row>
    <row r="11" spans="1:19" ht="20.100000000000001" customHeight="1" x14ac:dyDescent="0.25">
      <c r="A11" s="24">
        <v>44866</v>
      </c>
      <c r="B11" s="76">
        <v>8002.7</v>
      </c>
      <c r="C11" s="76">
        <v>2486</v>
      </c>
      <c r="D11" s="25" t="s">
        <v>48</v>
      </c>
      <c r="E11" s="76" t="s">
        <v>23</v>
      </c>
      <c r="F11" s="83">
        <f>6557.46+10292.7</f>
        <v>16850.16</v>
      </c>
      <c r="G11" s="83">
        <f>11234+679+267</f>
        <v>12180</v>
      </c>
      <c r="H11" s="83">
        <f>40+157+18+27+15+15+15</f>
        <v>287</v>
      </c>
      <c r="I11" s="83">
        <f>F11-(G11+H11)</f>
        <v>4383.16</v>
      </c>
      <c r="J11" s="85">
        <v>4383</v>
      </c>
      <c r="K11" s="80" t="s">
        <v>67</v>
      </c>
      <c r="L11" s="75">
        <v>4383</v>
      </c>
      <c r="M11" s="88">
        <f>L11*(1/B11)</f>
        <v>0.54769015457283166</v>
      </c>
      <c r="N11" s="88">
        <f>M11*P2</f>
        <v>2.4098366801204594</v>
      </c>
      <c r="O11" s="110">
        <v>1988.4549999999999</v>
      </c>
      <c r="P11" s="78">
        <f>O11*P2</f>
        <v>8749.2020000000011</v>
      </c>
      <c r="Q11" s="116">
        <v>0</v>
      </c>
      <c r="R11" s="116">
        <f>J11-O11</f>
        <v>2394.5450000000001</v>
      </c>
      <c r="S11" s="96">
        <f>R11*P2</f>
        <v>10535.998000000001</v>
      </c>
    </row>
    <row r="12" spans="1:19" ht="20.100000000000001" customHeight="1" x14ac:dyDescent="0.25">
      <c r="A12" s="24">
        <v>44866</v>
      </c>
      <c r="B12" s="77"/>
      <c r="C12" s="77"/>
      <c r="D12" s="25" t="s">
        <v>49</v>
      </c>
      <c r="E12" s="77"/>
      <c r="F12" s="84"/>
      <c r="G12" s="84"/>
      <c r="H12" s="84"/>
      <c r="I12" s="84"/>
      <c r="J12" s="86"/>
      <c r="K12" s="81"/>
      <c r="L12" s="66"/>
      <c r="M12" s="89"/>
      <c r="N12" s="89"/>
      <c r="O12" s="111"/>
      <c r="P12" s="79"/>
      <c r="Q12" s="117"/>
      <c r="R12" s="117"/>
      <c r="S12" s="96"/>
    </row>
    <row r="13" spans="1:19" ht="20.100000000000001" customHeight="1" x14ac:dyDescent="0.25">
      <c r="A13" s="24">
        <v>44896</v>
      </c>
      <c r="B13" s="76">
        <v>8002.7</v>
      </c>
      <c r="C13" s="76">
        <v>2486</v>
      </c>
      <c r="D13" s="25" t="s">
        <v>48</v>
      </c>
      <c r="E13" s="76" t="s">
        <v>23</v>
      </c>
      <c r="F13" s="83">
        <f>10169+6868</f>
        <v>17037</v>
      </c>
      <c r="G13" s="83">
        <f>14488+676+251</f>
        <v>15415</v>
      </c>
      <c r="H13" s="83">
        <f>47+156+18+27+15+15+15</f>
        <v>293</v>
      </c>
      <c r="I13" s="83">
        <f>F13-(G13+H13)</f>
        <v>1329</v>
      </c>
      <c r="J13" s="85">
        <v>1329</v>
      </c>
      <c r="K13" s="80" t="s">
        <v>68</v>
      </c>
      <c r="L13" s="75">
        <v>1329</v>
      </c>
      <c r="M13" s="88"/>
      <c r="N13" s="88"/>
      <c r="O13" s="110">
        <v>1988.4549999999999</v>
      </c>
      <c r="P13" s="78">
        <f>O13*P2</f>
        <v>8749.2020000000011</v>
      </c>
      <c r="Q13" s="116">
        <f>O13-I13</f>
        <v>659.45499999999993</v>
      </c>
      <c r="R13" s="116">
        <v>0</v>
      </c>
      <c r="S13" s="96">
        <f>-(Q13*P3)</f>
        <v>-3158.7894499999998</v>
      </c>
    </row>
    <row r="14" spans="1:19" ht="20.100000000000001" customHeight="1" x14ac:dyDescent="0.25">
      <c r="A14" s="24">
        <v>44896</v>
      </c>
      <c r="B14" s="77"/>
      <c r="C14" s="77"/>
      <c r="D14" s="25" t="s">
        <v>49</v>
      </c>
      <c r="E14" s="77"/>
      <c r="F14" s="84"/>
      <c r="G14" s="84"/>
      <c r="H14" s="84"/>
      <c r="I14" s="84"/>
      <c r="J14" s="86"/>
      <c r="K14" s="81"/>
      <c r="L14" s="66"/>
      <c r="M14" s="89"/>
      <c r="N14" s="89"/>
      <c r="O14" s="111"/>
      <c r="P14" s="79"/>
      <c r="Q14" s="117"/>
      <c r="R14" s="117"/>
      <c r="S14" s="96"/>
    </row>
    <row r="15" spans="1:19" x14ac:dyDescent="0.25">
      <c r="A15" s="1"/>
      <c r="B15" s="1"/>
      <c r="C15" s="1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27"/>
      <c r="S15" s="34">
        <f>SUM(S7:S14)</f>
        <v>1008.4065500000011</v>
      </c>
    </row>
    <row r="16" spans="1:19" x14ac:dyDescent="0.25">
      <c r="B16" s="1"/>
      <c r="C16" s="1"/>
      <c r="Q16" s="17"/>
      <c r="R16" s="17"/>
      <c r="S16" s="17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  <row r="26" spans="2:3" x14ac:dyDescent="0.25">
      <c r="B26" s="1"/>
      <c r="C26" s="1"/>
    </row>
    <row r="27" spans="2:3" x14ac:dyDescent="0.25">
      <c r="B27" s="1"/>
      <c r="C27" s="1"/>
    </row>
    <row r="28" spans="2:3" x14ac:dyDescent="0.25">
      <c r="B28" s="1"/>
      <c r="C28" s="1"/>
    </row>
  </sheetData>
  <sheetProtection algorithmName="SHA-512" hashValue="wYxdOqmj4B5NrO7rQiC+FYLPCJItIxZ2Y2S/gYMAFlj5PMM3DYwvwW2kzeA3+nnQtu0Y0cpFNNoo5rhFK5rfsQ==" saltValue="h515hj6EIFCq2SScOMVP2Q==" spinCount="100000" sheet="1" objects="1" scenarios="1" selectLockedCells="1" selectUnlockedCells="1"/>
  <mergeCells count="89">
    <mergeCell ref="S11:S12"/>
    <mergeCell ref="S13:S14"/>
    <mergeCell ref="S4:S5"/>
    <mergeCell ref="A1:S1"/>
    <mergeCell ref="K9:K10"/>
    <mergeCell ref="S7:S8"/>
    <mergeCell ref="S9:S10"/>
    <mergeCell ref="R9:R10"/>
    <mergeCell ref="Q13:Q14"/>
    <mergeCell ref="L13:L14"/>
    <mergeCell ref="M13:M14"/>
    <mergeCell ref="N13:N14"/>
    <mergeCell ref="O13:O14"/>
    <mergeCell ref="P13:P14"/>
    <mergeCell ref="R11:R12"/>
    <mergeCell ref="M11:M12"/>
    <mergeCell ref="N11:N12"/>
    <mergeCell ref="O11:O12"/>
    <mergeCell ref="P11:P12"/>
    <mergeCell ref="R13:R14"/>
    <mergeCell ref="Q9:Q10"/>
    <mergeCell ref="O9:O10"/>
    <mergeCell ref="Q11:Q12"/>
    <mergeCell ref="B13:B14"/>
    <mergeCell ref="C13:C14"/>
    <mergeCell ref="E13:E14"/>
    <mergeCell ref="F13:F14"/>
    <mergeCell ref="G13:G14"/>
    <mergeCell ref="H13:H14"/>
    <mergeCell ref="I13:I14"/>
    <mergeCell ref="K13:K14"/>
    <mergeCell ref="K11:K12"/>
    <mergeCell ref="L11:L12"/>
    <mergeCell ref="H11:H12"/>
    <mergeCell ref="I11:I12"/>
    <mergeCell ref="J11:J12"/>
    <mergeCell ref="J13:J14"/>
    <mergeCell ref="B11:B12"/>
    <mergeCell ref="C11:C12"/>
    <mergeCell ref="E11:E12"/>
    <mergeCell ref="F11:F12"/>
    <mergeCell ref="G11:G12"/>
    <mergeCell ref="B9:B10"/>
    <mergeCell ref="C9:C10"/>
    <mergeCell ref="E9:E10"/>
    <mergeCell ref="F9:F10"/>
    <mergeCell ref="G9:G10"/>
    <mergeCell ref="M4:M5"/>
    <mergeCell ref="N4:N5"/>
    <mergeCell ref="O4:O5"/>
    <mergeCell ref="Q7:Q8"/>
    <mergeCell ref="H9:H10"/>
    <mergeCell ref="M7:M8"/>
    <mergeCell ref="N7:N8"/>
    <mergeCell ref="O7:O8"/>
    <mergeCell ref="P7:P8"/>
    <mergeCell ref="P9:P10"/>
    <mergeCell ref="J7:J8"/>
    <mergeCell ref="J9:J10"/>
    <mergeCell ref="I9:I10"/>
    <mergeCell ref="L9:L10"/>
    <mergeCell ref="M9:M10"/>
    <mergeCell ref="N9:N10"/>
    <mergeCell ref="I7:I8"/>
    <mergeCell ref="K7:K8"/>
    <mergeCell ref="L7:L8"/>
    <mergeCell ref="I4:I5"/>
    <mergeCell ref="K4:L4"/>
    <mergeCell ref="C7:C8"/>
    <mergeCell ref="E7:E8"/>
    <mergeCell ref="F7:F8"/>
    <mergeCell ref="G7:G8"/>
    <mergeCell ref="H7:H8"/>
    <mergeCell ref="R7:R8"/>
    <mergeCell ref="J2:N2"/>
    <mergeCell ref="J3:N3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Q4:R4"/>
    <mergeCell ref="B7:B8"/>
  </mergeCells>
  <pageMargins left="0.25" right="0.25" top="0.75" bottom="0.75" header="0.3" footer="0.3"/>
  <pageSetup paperSize="9" scale="4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S14" sqref="S14"/>
    </sheetView>
  </sheetViews>
  <sheetFormatPr defaultRowHeight="15" x14ac:dyDescent="0.25"/>
  <cols>
    <col min="1" max="1" width="10.42578125" style="3" bestFit="1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50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4196.2</v>
      </c>
      <c r="C7" s="13">
        <v>1450.1</v>
      </c>
      <c r="D7" s="25" t="s">
        <v>51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1146</v>
      </c>
      <c r="M7" s="40"/>
      <c r="N7" s="40"/>
      <c r="O7" s="132">
        <v>1145.5740000000001</v>
      </c>
      <c r="P7" s="41">
        <f>O7*P2</f>
        <v>5040.5256000000008</v>
      </c>
      <c r="Q7" s="40"/>
      <c r="R7" s="40"/>
      <c r="S7" s="20">
        <v>0</v>
      </c>
    </row>
    <row r="8" spans="1:19" ht="39.75" customHeight="1" x14ac:dyDescent="0.25">
      <c r="A8" s="24">
        <v>44835</v>
      </c>
      <c r="B8" s="13">
        <v>4196.2</v>
      </c>
      <c r="C8" s="13">
        <v>1450.1</v>
      </c>
      <c r="D8" s="25" t="s">
        <v>51</v>
      </c>
      <c r="E8" s="13" t="s">
        <v>23</v>
      </c>
      <c r="F8" s="14">
        <v>7564.24</v>
      </c>
      <c r="G8" s="14">
        <f>7912+228+82</f>
        <v>8222</v>
      </c>
      <c r="H8" s="14">
        <f>124+14+15+15</f>
        <v>168</v>
      </c>
      <c r="I8" s="14">
        <f>F8-(G8+H8)</f>
        <v>-825.76000000000022</v>
      </c>
      <c r="J8" s="38">
        <f>I8</f>
        <v>-825.76000000000022</v>
      </c>
      <c r="K8" s="42" t="s">
        <v>65</v>
      </c>
      <c r="L8" s="49">
        <v>0</v>
      </c>
      <c r="M8" s="44"/>
      <c r="N8" s="44"/>
      <c r="O8" s="132">
        <v>1145.5740000000001</v>
      </c>
      <c r="P8" s="41">
        <f>O8*P2</f>
        <v>5040.5256000000008</v>
      </c>
      <c r="Q8" s="120">
        <f>O8</f>
        <v>1145.5740000000001</v>
      </c>
      <c r="R8" s="43"/>
      <c r="S8" s="20">
        <f>-(Q8*P2)</f>
        <v>-5040.5256000000008</v>
      </c>
    </row>
    <row r="9" spans="1:19" ht="39.75" customHeight="1" x14ac:dyDescent="0.25">
      <c r="A9" s="24">
        <v>44866</v>
      </c>
      <c r="B9" s="13">
        <v>4196.2</v>
      </c>
      <c r="C9" s="13">
        <v>1450.1</v>
      </c>
      <c r="D9" s="25" t="s">
        <v>51</v>
      </c>
      <c r="E9" s="13" t="s">
        <v>23</v>
      </c>
      <c r="F9" s="9">
        <v>10116.44</v>
      </c>
      <c r="G9" s="5">
        <f>8682+189+65</f>
        <v>8936</v>
      </c>
      <c r="H9" s="5">
        <f>136+14+15+15</f>
        <v>180</v>
      </c>
      <c r="I9" s="14">
        <f t="shared" ref="I9:I10" si="0">F9-(G9+H9)</f>
        <v>1000.4400000000005</v>
      </c>
      <c r="J9" s="38">
        <v>174</v>
      </c>
      <c r="K9" s="42" t="s">
        <v>67</v>
      </c>
      <c r="L9" s="49">
        <v>174</v>
      </c>
      <c r="M9" s="43"/>
      <c r="N9" s="43"/>
      <c r="O9" s="132">
        <v>1145.5740000000001</v>
      </c>
      <c r="P9" s="46">
        <f>O9*P2</f>
        <v>5040.5256000000008</v>
      </c>
      <c r="Q9" s="120">
        <f>O9-J9</f>
        <v>971.57400000000007</v>
      </c>
      <c r="R9" s="43"/>
      <c r="S9" s="20">
        <f>-(Q9*P2)</f>
        <v>-4274.9256000000005</v>
      </c>
    </row>
    <row r="10" spans="1:19" ht="39.75" customHeight="1" x14ac:dyDescent="0.25">
      <c r="A10" s="24">
        <v>44896</v>
      </c>
      <c r="B10" s="5">
        <v>4196.2</v>
      </c>
      <c r="C10" s="5">
        <v>1450.1</v>
      </c>
      <c r="D10" s="25" t="s">
        <v>51</v>
      </c>
      <c r="E10" s="5" t="s">
        <v>23</v>
      </c>
      <c r="F10" s="5">
        <v>10447</v>
      </c>
      <c r="G10" s="5">
        <f>7995+303+107</f>
        <v>8405</v>
      </c>
      <c r="H10" s="5">
        <f>119+14+15+15</f>
        <v>163</v>
      </c>
      <c r="I10" s="8">
        <f t="shared" si="0"/>
        <v>1879</v>
      </c>
      <c r="J10" s="38">
        <v>1879</v>
      </c>
      <c r="K10" s="42" t="s">
        <v>68</v>
      </c>
      <c r="L10" s="49">
        <v>1879</v>
      </c>
      <c r="M10" s="43"/>
      <c r="N10" s="43"/>
      <c r="O10" s="134">
        <v>1145.5740000000001</v>
      </c>
      <c r="P10" s="46">
        <f>O10*P2</f>
        <v>5040.5256000000008</v>
      </c>
      <c r="Q10" s="43"/>
      <c r="R10" s="120">
        <f>J10-O10</f>
        <v>733.42599999999993</v>
      </c>
      <c r="S10" s="20">
        <f>R10*P3</f>
        <v>3513.1105399999997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7"/>
      <c r="R11" s="28"/>
      <c r="S11" s="19">
        <f>SUM(S7:S10)</f>
        <v>-5802.3406600000017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8"/>
      <c r="R12" s="28"/>
      <c r="S12" s="21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tRgcuLxU73aQamIrpq1qrVChuDl1hKonqcNi9huZ7pGVAa0a8WoSr1QIZ/REPxNZu4Cwbz/2aC556MbkNt3ltA==" saltValue="IWmp+aayHR1tjKQzZFOc0Q==" spinCount="100000" sheet="1" objects="1" scenarios="1" selectLockedCells="1" selectUnlockedCells="1"/>
  <mergeCells count="21">
    <mergeCell ref="S4:S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77" zoomScaleNormal="77" workbookViewId="0">
      <selection activeCell="S16" sqref="S16"/>
    </sheetView>
  </sheetViews>
  <sheetFormatPr defaultRowHeight="15" x14ac:dyDescent="0.25"/>
  <cols>
    <col min="1" max="1" width="13.85546875" style="3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5" bestFit="1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20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ht="20.100000000000001" customHeight="1" x14ac:dyDescent="0.25">
      <c r="A2" s="90" t="s">
        <v>52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20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20" ht="68.25" customHeight="1" x14ac:dyDescent="0.25">
      <c r="A4" s="91" t="s">
        <v>4</v>
      </c>
      <c r="B4" s="91" t="s">
        <v>3</v>
      </c>
      <c r="C4" s="92" t="s">
        <v>13</v>
      </c>
      <c r="D4" s="9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20" ht="78" customHeight="1" x14ac:dyDescent="0.25">
      <c r="A5" s="91"/>
      <c r="B5" s="91"/>
      <c r="C5" s="93"/>
      <c r="D5" s="9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20" ht="20.100000000000001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20" ht="20.100000000000001" customHeight="1" x14ac:dyDescent="0.25">
      <c r="A7" s="24">
        <v>44805</v>
      </c>
      <c r="B7" s="76">
        <v>4155.2</v>
      </c>
      <c r="C7" s="76">
        <v>1470.7</v>
      </c>
      <c r="D7" s="25" t="s">
        <v>53</v>
      </c>
      <c r="E7" s="76" t="s">
        <v>23</v>
      </c>
      <c r="F7" s="83"/>
      <c r="G7" s="83"/>
      <c r="H7" s="83"/>
      <c r="I7" s="83"/>
      <c r="J7" s="85"/>
      <c r="K7" s="67" t="s">
        <v>66</v>
      </c>
      <c r="L7" s="69">
        <v>1177</v>
      </c>
      <c r="M7" s="94"/>
      <c r="N7" s="94"/>
      <c r="O7" s="110">
        <v>1176.5619999999999</v>
      </c>
      <c r="P7" s="73">
        <f>O7*P2</f>
        <v>5176.8728000000001</v>
      </c>
      <c r="Q7" s="69"/>
      <c r="R7" s="69"/>
      <c r="S7" s="96">
        <v>0</v>
      </c>
    </row>
    <row r="8" spans="1:20" ht="20.100000000000001" customHeight="1" x14ac:dyDescent="0.25">
      <c r="A8" s="24">
        <v>44805</v>
      </c>
      <c r="B8" s="77"/>
      <c r="C8" s="77"/>
      <c r="D8" s="25" t="s">
        <v>54</v>
      </c>
      <c r="E8" s="77"/>
      <c r="F8" s="84"/>
      <c r="G8" s="84"/>
      <c r="H8" s="84"/>
      <c r="I8" s="84"/>
      <c r="J8" s="86"/>
      <c r="K8" s="68"/>
      <c r="L8" s="70"/>
      <c r="M8" s="95"/>
      <c r="N8" s="95"/>
      <c r="O8" s="111"/>
      <c r="P8" s="74"/>
      <c r="Q8" s="70"/>
      <c r="R8" s="70"/>
      <c r="S8" s="96"/>
    </row>
    <row r="9" spans="1:20" ht="20.100000000000001" customHeight="1" x14ac:dyDescent="0.25">
      <c r="A9" s="24">
        <v>44835</v>
      </c>
      <c r="B9" s="76">
        <v>4155.2</v>
      </c>
      <c r="C9" s="76">
        <v>1470.7</v>
      </c>
      <c r="D9" s="25" t="s">
        <v>53</v>
      </c>
      <c r="E9" s="76" t="s">
        <v>23</v>
      </c>
      <c r="F9" s="83">
        <f>5945.24+3278.04</f>
        <v>9223.2799999999988</v>
      </c>
      <c r="G9" s="83">
        <f>7137+336+105</f>
        <v>7578</v>
      </c>
      <c r="H9" s="83">
        <f>643+944+20+15+15</f>
        <v>1637</v>
      </c>
      <c r="I9" s="83">
        <f>F9-(G9+H9)</f>
        <v>8.2799999999988358</v>
      </c>
      <c r="J9" s="85">
        <v>8</v>
      </c>
      <c r="K9" s="67" t="s">
        <v>65</v>
      </c>
      <c r="L9" s="69">
        <v>8</v>
      </c>
      <c r="M9" s="71"/>
      <c r="N9" s="71"/>
      <c r="O9" s="110">
        <v>1176.5619999999999</v>
      </c>
      <c r="P9" s="73">
        <f>O9*P2</f>
        <v>5176.8728000000001</v>
      </c>
      <c r="Q9" s="114">
        <v>1168.5619999999999</v>
      </c>
      <c r="R9" s="114"/>
      <c r="S9" s="96">
        <f>-(Q9*P2)</f>
        <v>-5141.6728000000003</v>
      </c>
    </row>
    <row r="10" spans="1:20" ht="20.100000000000001" customHeight="1" x14ac:dyDescent="0.25">
      <c r="A10" s="24">
        <v>44835</v>
      </c>
      <c r="B10" s="77"/>
      <c r="C10" s="77"/>
      <c r="D10" s="25" t="s">
        <v>54</v>
      </c>
      <c r="E10" s="77"/>
      <c r="F10" s="84"/>
      <c r="G10" s="84"/>
      <c r="H10" s="84"/>
      <c r="I10" s="84"/>
      <c r="J10" s="86"/>
      <c r="K10" s="68"/>
      <c r="L10" s="70"/>
      <c r="M10" s="72"/>
      <c r="N10" s="72"/>
      <c r="O10" s="111"/>
      <c r="P10" s="74"/>
      <c r="Q10" s="115"/>
      <c r="R10" s="115"/>
      <c r="S10" s="96"/>
    </row>
    <row r="11" spans="1:20" ht="20.100000000000001" customHeight="1" x14ac:dyDescent="0.25">
      <c r="A11" s="24">
        <v>44866</v>
      </c>
      <c r="B11" s="76">
        <v>4155.2</v>
      </c>
      <c r="C11" s="76">
        <v>1470.7</v>
      </c>
      <c r="D11" s="25" t="s">
        <v>53</v>
      </c>
      <c r="E11" s="76" t="s">
        <v>23</v>
      </c>
      <c r="F11" s="83">
        <f>7493.96+3970.05</f>
        <v>11464.01</v>
      </c>
      <c r="G11" s="83">
        <f>5650+430+135</f>
        <v>6215</v>
      </c>
      <c r="H11" s="83">
        <f>749+1063+20+15+15</f>
        <v>1862</v>
      </c>
      <c r="I11" s="83">
        <f>F11-(G11+H11)</f>
        <v>3387.01</v>
      </c>
      <c r="J11" s="85">
        <v>3387</v>
      </c>
      <c r="K11" s="80" t="s">
        <v>67</v>
      </c>
      <c r="L11" s="75">
        <v>3387</v>
      </c>
      <c r="M11" s="88"/>
      <c r="N11" s="88"/>
      <c r="O11" s="110">
        <v>1176.5619999999999</v>
      </c>
      <c r="P11" s="78">
        <f>O11*P2</f>
        <v>5176.8728000000001</v>
      </c>
      <c r="Q11" s="116"/>
      <c r="R11" s="116">
        <v>2210.4380000000001</v>
      </c>
      <c r="S11" s="96">
        <f>R11*P2</f>
        <v>9725.9272000000019</v>
      </c>
    </row>
    <row r="12" spans="1:20" ht="20.100000000000001" customHeight="1" x14ac:dyDescent="0.25">
      <c r="A12" s="24">
        <v>44866</v>
      </c>
      <c r="B12" s="77"/>
      <c r="C12" s="77"/>
      <c r="D12" s="25" t="s">
        <v>54</v>
      </c>
      <c r="E12" s="77"/>
      <c r="F12" s="84"/>
      <c r="G12" s="84"/>
      <c r="H12" s="84"/>
      <c r="I12" s="84"/>
      <c r="J12" s="86"/>
      <c r="K12" s="81"/>
      <c r="L12" s="66"/>
      <c r="M12" s="89"/>
      <c r="N12" s="89"/>
      <c r="O12" s="111"/>
      <c r="P12" s="79"/>
      <c r="Q12" s="117"/>
      <c r="R12" s="117"/>
      <c r="S12" s="96"/>
    </row>
    <row r="13" spans="1:20" ht="20.100000000000001" customHeight="1" x14ac:dyDescent="0.25">
      <c r="A13" s="24">
        <v>44896</v>
      </c>
      <c r="B13" s="76">
        <v>4155.2</v>
      </c>
      <c r="C13" s="76">
        <v>1470.7</v>
      </c>
      <c r="D13" s="25" t="s">
        <v>53</v>
      </c>
      <c r="E13" s="76" t="s">
        <v>23</v>
      </c>
      <c r="F13" s="83">
        <f>4320+7573</f>
        <v>11893</v>
      </c>
      <c r="G13" s="83">
        <f>7873+444+105</f>
        <v>8422</v>
      </c>
      <c r="H13" s="83">
        <f>726+1061+20+15+15</f>
        <v>1837</v>
      </c>
      <c r="I13" s="83">
        <f>F13-(G13+H13)</f>
        <v>1634</v>
      </c>
      <c r="J13" s="85">
        <v>1634</v>
      </c>
      <c r="K13" s="80" t="s">
        <v>68</v>
      </c>
      <c r="L13" s="75">
        <v>1634</v>
      </c>
      <c r="M13" s="88"/>
      <c r="N13" s="88"/>
      <c r="O13" s="110">
        <v>1176.5619999999999</v>
      </c>
      <c r="P13" s="78">
        <f>O13*P2</f>
        <v>5176.8728000000001</v>
      </c>
      <c r="Q13" s="116"/>
      <c r="R13" s="116">
        <v>457.43799999999999</v>
      </c>
      <c r="S13" s="96">
        <f>R13*P3</f>
        <v>2191.1280200000001</v>
      </c>
    </row>
    <row r="14" spans="1:20" ht="20.100000000000001" customHeight="1" x14ac:dyDescent="0.25">
      <c r="A14" s="24">
        <v>44896</v>
      </c>
      <c r="B14" s="77"/>
      <c r="C14" s="77"/>
      <c r="D14" s="25" t="s">
        <v>54</v>
      </c>
      <c r="E14" s="77"/>
      <c r="F14" s="84"/>
      <c r="G14" s="84"/>
      <c r="H14" s="84"/>
      <c r="I14" s="84"/>
      <c r="J14" s="86"/>
      <c r="K14" s="81"/>
      <c r="L14" s="66"/>
      <c r="M14" s="89"/>
      <c r="N14" s="89"/>
      <c r="O14" s="111"/>
      <c r="P14" s="79"/>
      <c r="Q14" s="117"/>
      <c r="R14" s="117"/>
      <c r="S14" s="96"/>
    </row>
    <row r="15" spans="1:20" x14ac:dyDescent="0.25">
      <c r="A15" s="1"/>
      <c r="B15" s="1"/>
      <c r="C15" s="1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  <c r="S15" s="19">
        <f>SUM(S7:S14)</f>
        <v>6775.3824200000017</v>
      </c>
      <c r="T15" s="17"/>
    </row>
    <row r="16" spans="1:20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  <row r="26" spans="2:3" x14ac:dyDescent="0.25">
      <c r="B26" s="1"/>
      <c r="C26" s="1"/>
    </row>
    <row r="27" spans="2:3" x14ac:dyDescent="0.25">
      <c r="B27" s="1"/>
      <c r="C27" s="1"/>
    </row>
    <row r="28" spans="2:3" x14ac:dyDescent="0.25">
      <c r="B28" s="1"/>
      <c r="C28" s="1"/>
    </row>
  </sheetData>
  <sheetProtection algorithmName="SHA-512" hashValue="NQB/QKZfX1YgSHpk1WJspoT6wPMNT9iXKiXrQPWTs8F3mJG2wywr21QBzgon+6D6QYWuuN40+q3ntwQBHYj2zQ==" saltValue="BYJ3NR2h50GSS24lbKGcig==" spinCount="100000" sheet="1" objects="1" scenarios="1" selectLockedCells="1" selectUnlockedCells="1"/>
  <mergeCells count="89">
    <mergeCell ref="S4:S5"/>
    <mergeCell ref="S7:S8"/>
    <mergeCell ref="S9:S10"/>
    <mergeCell ref="S11:S12"/>
    <mergeCell ref="S13:S14"/>
    <mergeCell ref="Q13:Q14"/>
    <mergeCell ref="L13:L14"/>
    <mergeCell ref="M13:M14"/>
    <mergeCell ref="N13:N14"/>
    <mergeCell ref="O13:O14"/>
    <mergeCell ref="P13:P14"/>
    <mergeCell ref="R11:R12"/>
    <mergeCell ref="B13:B14"/>
    <mergeCell ref="C13:C14"/>
    <mergeCell ref="E13:E14"/>
    <mergeCell ref="F13:F14"/>
    <mergeCell ref="G13:G14"/>
    <mergeCell ref="H13:H14"/>
    <mergeCell ref="I13:I14"/>
    <mergeCell ref="K13:K14"/>
    <mergeCell ref="K11:K12"/>
    <mergeCell ref="L11:L12"/>
    <mergeCell ref="M11:M12"/>
    <mergeCell ref="N11:N12"/>
    <mergeCell ref="O11:O12"/>
    <mergeCell ref="P11:P12"/>
    <mergeCell ref="R13:R14"/>
    <mergeCell ref="Q9:Q10"/>
    <mergeCell ref="R9:R10"/>
    <mergeCell ref="B11:B12"/>
    <mergeCell ref="C11:C12"/>
    <mergeCell ref="E11:E12"/>
    <mergeCell ref="F11:F12"/>
    <mergeCell ref="G11:G12"/>
    <mergeCell ref="H11:H12"/>
    <mergeCell ref="I11:I12"/>
    <mergeCell ref="I9:I10"/>
    <mergeCell ref="K9:K10"/>
    <mergeCell ref="L9:L10"/>
    <mergeCell ref="M9:M10"/>
    <mergeCell ref="N9:N10"/>
    <mergeCell ref="O9:O10"/>
    <mergeCell ref="Q11:Q12"/>
    <mergeCell ref="P7:P8"/>
    <mergeCell ref="P9:P10"/>
    <mergeCell ref="J7:J8"/>
    <mergeCell ref="J9:J10"/>
    <mergeCell ref="B9:B10"/>
    <mergeCell ref="C9:C10"/>
    <mergeCell ref="E9:E10"/>
    <mergeCell ref="F9:F10"/>
    <mergeCell ref="G9:G10"/>
    <mergeCell ref="N4:N5"/>
    <mergeCell ref="H9:H10"/>
    <mergeCell ref="M7:M8"/>
    <mergeCell ref="N7:N8"/>
    <mergeCell ref="O7:O8"/>
    <mergeCell ref="J4:J5"/>
    <mergeCell ref="Q7:Q8"/>
    <mergeCell ref="R7:R8"/>
    <mergeCell ref="Q4:R4"/>
    <mergeCell ref="B7:B8"/>
    <mergeCell ref="C7:C8"/>
    <mergeCell ref="E7:E8"/>
    <mergeCell ref="F7:F8"/>
    <mergeCell ref="G7:G8"/>
    <mergeCell ref="H7:H8"/>
    <mergeCell ref="I7:I8"/>
    <mergeCell ref="K7:K8"/>
    <mergeCell ref="L7:L8"/>
    <mergeCell ref="I4:I5"/>
    <mergeCell ref="K4:L4"/>
    <mergeCell ref="M4:M5"/>
    <mergeCell ref="A1:S1"/>
    <mergeCell ref="J2:N2"/>
    <mergeCell ref="J3:N3"/>
    <mergeCell ref="J11:J12"/>
    <mergeCell ref="J13:J14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55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1929.3</v>
      </c>
      <c r="C7" s="13">
        <v>387.9</v>
      </c>
      <c r="D7" s="25" t="s">
        <v>56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279</v>
      </c>
      <c r="M7" s="40"/>
      <c r="N7" s="40"/>
      <c r="O7" s="132">
        <v>279.286</v>
      </c>
      <c r="P7" s="41">
        <f>O7*P2</f>
        <v>1228.8584000000001</v>
      </c>
      <c r="Q7" s="40"/>
      <c r="R7" s="40"/>
      <c r="S7" s="20">
        <v>0</v>
      </c>
    </row>
    <row r="8" spans="1:19" ht="39.75" customHeight="1" x14ac:dyDescent="0.25">
      <c r="A8" s="24">
        <v>44835</v>
      </c>
      <c r="B8" s="13">
        <v>1929.3</v>
      </c>
      <c r="C8" s="13">
        <v>387.9</v>
      </c>
      <c r="D8" s="25" t="s">
        <v>56</v>
      </c>
      <c r="E8" s="13" t="s">
        <v>23</v>
      </c>
      <c r="F8" s="14">
        <v>3833</v>
      </c>
      <c r="G8" s="14">
        <f>3652</f>
        <v>3652</v>
      </c>
      <c r="H8" s="14">
        <f>709+16+15</f>
        <v>740</v>
      </c>
      <c r="I8" s="14">
        <f>F8-(G8+H8)</f>
        <v>-559</v>
      </c>
      <c r="J8" s="38">
        <f>I8</f>
        <v>-559</v>
      </c>
      <c r="K8" s="42" t="s">
        <v>65</v>
      </c>
      <c r="L8" s="49">
        <v>0</v>
      </c>
      <c r="M8" s="44">
        <f>L8*(1/B8)</f>
        <v>0</v>
      </c>
      <c r="N8" s="44">
        <f>M8*P2</f>
        <v>0</v>
      </c>
      <c r="O8" s="132">
        <v>279.286</v>
      </c>
      <c r="P8" s="41">
        <f>O8*P2</f>
        <v>1228.8584000000001</v>
      </c>
      <c r="Q8" s="120">
        <v>279.286</v>
      </c>
      <c r="R8" s="43"/>
      <c r="S8" s="20">
        <f>-Q8*P2</f>
        <v>-1228.8584000000001</v>
      </c>
    </row>
    <row r="9" spans="1:19" ht="39.75" customHeight="1" x14ac:dyDescent="0.25">
      <c r="A9" s="24">
        <v>44866</v>
      </c>
      <c r="B9" s="13">
        <v>1929.3</v>
      </c>
      <c r="C9" s="13">
        <v>387.9</v>
      </c>
      <c r="D9" s="25" t="s">
        <v>56</v>
      </c>
      <c r="E9" s="13" t="s">
        <v>23</v>
      </c>
      <c r="F9" s="9">
        <v>4142.5600000000004</v>
      </c>
      <c r="G9" s="5">
        <f>2519+270+76</f>
        <v>2865</v>
      </c>
      <c r="H9" s="5">
        <f>634+16+15</f>
        <v>665</v>
      </c>
      <c r="I9" s="14">
        <f t="shared" ref="I9" si="0">F9-(G9+H9)</f>
        <v>612.5600000000004</v>
      </c>
      <c r="J9" s="38">
        <v>54</v>
      </c>
      <c r="K9" s="42" t="s">
        <v>67</v>
      </c>
      <c r="L9" s="49">
        <v>54</v>
      </c>
      <c r="M9" s="44">
        <f t="shared" ref="M9:M10" si="1">L9*(1/B9)</f>
        <v>2.7989426216762554E-2</v>
      </c>
      <c r="N9" s="44">
        <f>M9*P2</f>
        <v>0.12315347535375525</v>
      </c>
      <c r="O9" s="132">
        <v>279.286</v>
      </c>
      <c r="P9" s="46">
        <f>O9*P2</f>
        <v>1228.8584000000001</v>
      </c>
      <c r="Q9" s="120">
        <v>225.286</v>
      </c>
      <c r="R9" s="45"/>
      <c r="S9" s="20">
        <f>-Q9*P2</f>
        <v>-991.25840000000005</v>
      </c>
    </row>
    <row r="10" spans="1:19" ht="39.75" customHeight="1" x14ac:dyDescent="0.25">
      <c r="A10" s="24">
        <v>44896</v>
      </c>
      <c r="B10" s="5">
        <v>1929.3</v>
      </c>
      <c r="C10" s="5">
        <v>387.9</v>
      </c>
      <c r="D10" s="25" t="s">
        <v>56</v>
      </c>
      <c r="E10" s="5" t="s">
        <v>23</v>
      </c>
      <c r="F10" s="5">
        <v>3908</v>
      </c>
      <c r="G10" s="5">
        <f>4899+152+55</f>
        <v>5106</v>
      </c>
      <c r="H10" s="5">
        <f>639+16+15</f>
        <v>670</v>
      </c>
      <c r="I10" s="8">
        <f>F10-(G10+H10)</f>
        <v>-1868</v>
      </c>
      <c r="J10" s="38">
        <f>I10</f>
        <v>-1868</v>
      </c>
      <c r="K10" s="42" t="s">
        <v>68</v>
      </c>
      <c r="L10" s="49">
        <v>0</v>
      </c>
      <c r="M10" s="44">
        <f t="shared" si="1"/>
        <v>0</v>
      </c>
      <c r="N10" s="44">
        <f>M10*P2</f>
        <v>0</v>
      </c>
      <c r="O10" s="134">
        <v>279.286</v>
      </c>
      <c r="P10" s="46">
        <f>O10*P2</f>
        <v>1228.8584000000001</v>
      </c>
      <c r="Q10" s="120">
        <f>O10</f>
        <v>279.286</v>
      </c>
      <c r="R10" s="45"/>
      <c r="S10" s="20">
        <f>-Q10*P3</f>
        <v>-1337.7799400000001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30"/>
      <c r="R11" s="26"/>
      <c r="S11" s="19">
        <f>SUM(S7:S10)</f>
        <v>-3557.8967400000001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6"/>
      <c r="S12" s="21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canyHxJ8pcNFWpuffbtqSBRsEwLrvuD8eEV1aI1Ci4h/TgfDM3VhiN2I9UE+ARaJ2EmnMtW9ssLustrOEYSFKA==" saltValue="Q7pYzKcJ/iTIjZGnw9UsQw==" spinCount="100000" sheet="1" objects="1" scenarios="1" selectLockedCells="1" selectUnlockedCells="1"/>
  <mergeCells count="21">
    <mergeCell ref="S4:S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24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10</v>
      </c>
      <c r="L6" s="37">
        <v>11</v>
      </c>
      <c r="M6" s="37">
        <v>12</v>
      </c>
      <c r="N6" s="37">
        <v>13</v>
      </c>
      <c r="O6" s="37">
        <v>14</v>
      </c>
      <c r="P6" s="37">
        <v>15</v>
      </c>
      <c r="Q6" s="37">
        <v>16</v>
      </c>
      <c r="R6" s="37">
        <v>17</v>
      </c>
      <c r="S6" s="11">
        <v>18</v>
      </c>
    </row>
    <row r="7" spans="1:19" ht="39.75" customHeight="1" x14ac:dyDescent="0.25">
      <c r="A7" s="24">
        <v>44805</v>
      </c>
      <c r="B7" s="13">
        <v>2784.8</v>
      </c>
      <c r="C7" s="13">
        <v>1063.0999999999999</v>
      </c>
      <c r="D7" s="25" t="s">
        <v>18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840</v>
      </c>
      <c r="M7" s="40"/>
      <c r="N7" s="40"/>
      <c r="O7" s="118">
        <v>839.84799999999996</v>
      </c>
      <c r="P7" s="52">
        <f>O7*P2</f>
        <v>3695.3312000000001</v>
      </c>
      <c r="Q7" s="118"/>
      <c r="R7" s="118"/>
      <c r="S7" s="20">
        <v>0</v>
      </c>
    </row>
    <row r="8" spans="1:19" ht="39.75" customHeight="1" x14ac:dyDescent="0.25">
      <c r="A8" s="24">
        <v>44835</v>
      </c>
      <c r="B8" s="13">
        <v>2784.8</v>
      </c>
      <c r="C8" s="13">
        <v>1063.0999999999999</v>
      </c>
      <c r="D8" s="25" t="s">
        <v>18</v>
      </c>
      <c r="E8" s="13" t="s">
        <v>23</v>
      </c>
      <c r="F8" s="14">
        <v>4227.88</v>
      </c>
      <c r="G8" s="14">
        <f>5469+42+27</f>
        <v>5538</v>
      </c>
      <c r="H8" s="14">
        <f>40+14+15</f>
        <v>69</v>
      </c>
      <c r="I8" s="14">
        <f>F8-(G8+H8)</f>
        <v>-1379.12</v>
      </c>
      <c r="J8" s="38">
        <f>I8</f>
        <v>-1379.12</v>
      </c>
      <c r="K8" s="42" t="s">
        <v>65</v>
      </c>
      <c r="L8" s="49">
        <v>0</v>
      </c>
      <c r="M8" s="44"/>
      <c r="N8" s="44"/>
      <c r="O8" s="118">
        <v>839.84799999999996</v>
      </c>
      <c r="P8" s="52">
        <f>O8*P2</f>
        <v>3695.3312000000001</v>
      </c>
      <c r="Q8" s="120">
        <f>O8</f>
        <v>839.84799999999996</v>
      </c>
      <c r="R8" s="120"/>
      <c r="S8" s="20">
        <f>-(Q8*P2)</f>
        <v>-3695.3312000000001</v>
      </c>
    </row>
    <row r="9" spans="1:19" ht="39.75" customHeight="1" x14ac:dyDescent="0.25">
      <c r="A9" s="24">
        <v>44866</v>
      </c>
      <c r="B9" s="13">
        <v>2784.8</v>
      </c>
      <c r="C9" s="13">
        <v>1063.0999999999999</v>
      </c>
      <c r="D9" s="25" t="s">
        <v>18</v>
      </c>
      <c r="E9" s="13" t="s">
        <v>23</v>
      </c>
      <c r="F9" s="8">
        <v>7319.08</v>
      </c>
      <c r="G9" s="8">
        <f>5274+108+40</f>
        <v>5422</v>
      </c>
      <c r="H9" s="8">
        <f>50+14+15</f>
        <v>79</v>
      </c>
      <c r="I9" s="14">
        <f>F9-(G9+H9)</f>
        <v>1818.08</v>
      </c>
      <c r="J9" s="38">
        <v>439</v>
      </c>
      <c r="K9" s="42" t="s">
        <v>67</v>
      </c>
      <c r="L9" s="49">
        <v>439</v>
      </c>
      <c r="M9" s="43"/>
      <c r="N9" s="43"/>
      <c r="O9" s="118">
        <v>839.84799999999996</v>
      </c>
      <c r="P9" s="52">
        <f>O9*P2</f>
        <v>3695.3312000000001</v>
      </c>
      <c r="Q9" s="120">
        <f>J9-O9</f>
        <v>-400.84799999999996</v>
      </c>
      <c r="R9" s="120"/>
      <c r="S9" s="20">
        <f>-(Q9*P2)</f>
        <v>1763.9071999999999</v>
      </c>
    </row>
    <row r="10" spans="1:19" ht="39.75" customHeight="1" x14ac:dyDescent="0.25">
      <c r="A10" s="24">
        <v>44896</v>
      </c>
      <c r="B10" s="5">
        <v>2784.8</v>
      </c>
      <c r="C10" s="5">
        <v>1063.0999999999999</v>
      </c>
      <c r="D10" s="25" t="s">
        <v>18</v>
      </c>
      <c r="E10" s="5" t="s">
        <v>23</v>
      </c>
      <c r="F10" s="8">
        <v>6070</v>
      </c>
      <c r="G10" s="8">
        <f>4739+109+36</f>
        <v>4884</v>
      </c>
      <c r="H10" s="8">
        <f>50+14+15</f>
        <v>79</v>
      </c>
      <c r="I10" s="8">
        <f t="shared" ref="I9:I10" si="0">F10-(G10+H10)</f>
        <v>1107</v>
      </c>
      <c r="J10" s="38">
        <f>I10</f>
        <v>1107</v>
      </c>
      <c r="K10" s="42" t="s">
        <v>68</v>
      </c>
      <c r="L10" s="56">
        <f>I10</f>
        <v>1107</v>
      </c>
      <c r="M10" s="55">
        <f>R10/C10</f>
        <v>0.25129526855422829</v>
      </c>
      <c r="N10" s="55">
        <f>M10*P3</f>
        <v>1.2037043363747535</v>
      </c>
      <c r="O10" s="119">
        <v>839.84799999999996</v>
      </c>
      <c r="P10" s="54">
        <f>O10*P3</f>
        <v>4022.87192</v>
      </c>
      <c r="Q10" s="120"/>
      <c r="R10" s="120">
        <f>J10-O10</f>
        <v>267.15200000000004</v>
      </c>
      <c r="S10" s="20">
        <f>R10*P3</f>
        <v>1279.6580800000002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30"/>
      <c r="R11" s="26"/>
      <c r="S11" s="19">
        <f>SUM(S7:S10)</f>
        <v>-651.76592000000005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6"/>
      <c r="S12" s="21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Ay8CKPCVkqmmTazsJbisrIE9Bmt0g2I5V6UAK2BG9yprJCheosZMu4CUG8lfldTPkeLJa6XZ7ntyh53ZC0N6nQ==" saltValue="wN2ZgK95OIPTUwoT+qASDQ==" spinCount="100000" sheet="1" objects="1" scenarios="1" selectLockedCells="1" selectUnlockedCells="1"/>
  <mergeCells count="21">
    <mergeCell ref="S4:S5"/>
    <mergeCell ref="A1:S1"/>
    <mergeCell ref="O4:O5"/>
    <mergeCell ref="P4:P5"/>
    <mergeCell ref="Q4:R4"/>
    <mergeCell ref="G4:G5"/>
    <mergeCell ref="H4:H5"/>
    <mergeCell ref="I4:I5"/>
    <mergeCell ref="K4:L4"/>
    <mergeCell ref="M4:M5"/>
    <mergeCell ref="N4:N5"/>
    <mergeCell ref="A4:A5"/>
    <mergeCell ref="B4:B5"/>
    <mergeCell ref="C4:C5"/>
    <mergeCell ref="D4:D5"/>
    <mergeCell ref="E4:E5"/>
    <mergeCell ref="F4:F5"/>
    <mergeCell ref="A2:D2"/>
    <mergeCell ref="J2:N2"/>
    <mergeCell ref="J3:N3"/>
    <mergeCell ref="J4:J5"/>
  </mergeCells>
  <pageMargins left="0.25" right="0.25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zoomScale="77" zoomScaleNormal="77" workbookViewId="0">
      <selection activeCell="A2" sqref="A2:D2"/>
    </sheetView>
  </sheetViews>
  <sheetFormatPr defaultRowHeight="15" x14ac:dyDescent="0.25"/>
  <cols>
    <col min="1" max="1" width="13.8554687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2.28515625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26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9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9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20.100000000000001" customHeight="1" x14ac:dyDescent="0.25">
      <c r="A7" s="24">
        <v>44805</v>
      </c>
      <c r="B7" s="76">
        <v>11231.77</v>
      </c>
      <c r="C7" s="76">
        <v>3343.52</v>
      </c>
      <c r="D7" s="25" t="s">
        <v>19</v>
      </c>
      <c r="E7" s="76" t="s">
        <v>23</v>
      </c>
      <c r="F7" s="83"/>
      <c r="G7" s="83"/>
      <c r="H7" s="83"/>
      <c r="I7" s="83"/>
      <c r="J7" s="85"/>
      <c r="K7" s="67" t="s">
        <v>66</v>
      </c>
      <c r="L7" s="69">
        <v>3344</v>
      </c>
      <c r="M7" s="94"/>
      <c r="N7" s="94"/>
      <c r="O7" s="121">
        <v>3360.5079999999998</v>
      </c>
      <c r="P7" s="73">
        <f>O7*P2</f>
        <v>14786.235200000001</v>
      </c>
      <c r="Q7" s="123">
        <v>0</v>
      </c>
      <c r="R7" s="123"/>
      <c r="S7" s="96">
        <v>0</v>
      </c>
    </row>
    <row r="8" spans="1:19" ht="20.100000000000001" customHeight="1" x14ac:dyDescent="0.25">
      <c r="A8" s="24">
        <v>44805</v>
      </c>
      <c r="B8" s="77"/>
      <c r="C8" s="77"/>
      <c r="D8" s="25" t="s">
        <v>20</v>
      </c>
      <c r="E8" s="77"/>
      <c r="F8" s="84"/>
      <c r="G8" s="84"/>
      <c r="H8" s="84"/>
      <c r="I8" s="84"/>
      <c r="J8" s="86"/>
      <c r="K8" s="68"/>
      <c r="L8" s="70"/>
      <c r="M8" s="95"/>
      <c r="N8" s="95"/>
      <c r="O8" s="122"/>
      <c r="P8" s="74"/>
      <c r="Q8" s="124"/>
      <c r="R8" s="124"/>
      <c r="S8" s="96"/>
    </row>
    <row r="9" spans="1:19" ht="20.100000000000001" customHeight="1" x14ac:dyDescent="0.25">
      <c r="A9" s="24">
        <v>44835</v>
      </c>
      <c r="B9" s="76">
        <v>11231.77</v>
      </c>
      <c r="C9" s="76">
        <v>3343.52</v>
      </c>
      <c r="D9" s="25" t="s">
        <v>19</v>
      </c>
      <c r="E9" s="76" t="s">
        <v>23</v>
      </c>
      <c r="F9" s="83">
        <f>11108.8+5738</f>
        <v>16846.8</v>
      </c>
      <c r="G9" s="83">
        <f>18439+1370+334</f>
        <v>20143</v>
      </c>
      <c r="H9" s="83">
        <f>15+41+15+15+15+15</f>
        <v>116</v>
      </c>
      <c r="I9" s="83">
        <f>F9-(G9+H9)</f>
        <v>-3412.2000000000007</v>
      </c>
      <c r="J9" s="85">
        <f>I9</f>
        <v>-3412.2000000000007</v>
      </c>
      <c r="K9" s="67" t="s">
        <v>65</v>
      </c>
      <c r="L9" s="69">
        <v>0</v>
      </c>
      <c r="M9" s="71"/>
      <c r="N9" s="71"/>
      <c r="O9" s="121">
        <v>3360.5079999999998</v>
      </c>
      <c r="P9" s="73">
        <f>O9*P2</f>
        <v>14786.235200000001</v>
      </c>
      <c r="Q9" s="123">
        <f>O9</f>
        <v>3360.5079999999998</v>
      </c>
      <c r="R9" s="123"/>
      <c r="S9" s="96">
        <f>-(Q9*P2)</f>
        <v>-14786.235200000001</v>
      </c>
    </row>
    <row r="10" spans="1:19" ht="20.100000000000001" customHeight="1" x14ac:dyDescent="0.25">
      <c r="A10" s="24">
        <v>44835</v>
      </c>
      <c r="B10" s="77"/>
      <c r="C10" s="77"/>
      <c r="D10" s="25" t="s">
        <v>20</v>
      </c>
      <c r="E10" s="77"/>
      <c r="F10" s="84"/>
      <c r="G10" s="84"/>
      <c r="H10" s="84"/>
      <c r="I10" s="84"/>
      <c r="J10" s="86"/>
      <c r="K10" s="68"/>
      <c r="L10" s="70"/>
      <c r="M10" s="72"/>
      <c r="N10" s="72"/>
      <c r="O10" s="122"/>
      <c r="P10" s="74"/>
      <c r="Q10" s="124"/>
      <c r="R10" s="124"/>
      <c r="S10" s="96"/>
    </row>
    <row r="11" spans="1:19" ht="20.100000000000001" customHeight="1" x14ac:dyDescent="0.25">
      <c r="A11" s="24">
        <v>44866</v>
      </c>
      <c r="B11" s="76">
        <v>11231.77</v>
      </c>
      <c r="C11" s="76">
        <v>3343.52</v>
      </c>
      <c r="D11" s="25" t="s">
        <v>19</v>
      </c>
      <c r="E11" s="76" t="s">
        <v>23</v>
      </c>
      <c r="F11" s="83">
        <f>11954.4+10976</f>
        <v>22930.400000000001</v>
      </c>
      <c r="G11" s="83">
        <f>16527+1230+322</f>
        <v>18079</v>
      </c>
      <c r="H11" s="83">
        <f>15+41+15+15+15+15</f>
        <v>116</v>
      </c>
      <c r="I11" s="83">
        <f>F11-(G11+H11)</f>
        <v>4735.4000000000015</v>
      </c>
      <c r="J11" s="85">
        <v>1323</v>
      </c>
      <c r="K11" s="80" t="s">
        <v>67</v>
      </c>
      <c r="L11" s="75">
        <v>1323</v>
      </c>
      <c r="M11" s="76"/>
      <c r="N11" s="76"/>
      <c r="O11" s="121">
        <v>3360.5079999999998</v>
      </c>
      <c r="P11" s="78">
        <f>O11*P2</f>
        <v>14786.235200000001</v>
      </c>
      <c r="Q11" s="125">
        <f>O11-J11</f>
        <v>2037.5079999999998</v>
      </c>
      <c r="R11" s="125"/>
      <c r="S11" s="96">
        <f>-(Q11*P2)</f>
        <v>-8965.0352000000003</v>
      </c>
    </row>
    <row r="12" spans="1:19" ht="20.100000000000001" customHeight="1" x14ac:dyDescent="0.25">
      <c r="A12" s="24">
        <v>44866</v>
      </c>
      <c r="B12" s="77"/>
      <c r="C12" s="77"/>
      <c r="D12" s="25" t="s">
        <v>20</v>
      </c>
      <c r="E12" s="77"/>
      <c r="F12" s="84"/>
      <c r="G12" s="84"/>
      <c r="H12" s="84"/>
      <c r="I12" s="84"/>
      <c r="J12" s="86"/>
      <c r="K12" s="81"/>
      <c r="L12" s="66"/>
      <c r="M12" s="77"/>
      <c r="N12" s="77"/>
      <c r="O12" s="122"/>
      <c r="P12" s="79"/>
      <c r="Q12" s="126"/>
      <c r="R12" s="126"/>
      <c r="S12" s="96"/>
    </row>
    <row r="13" spans="1:19" ht="20.100000000000001" customHeight="1" x14ac:dyDescent="0.25">
      <c r="A13" s="24">
        <v>44896</v>
      </c>
      <c r="B13" s="76">
        <v>11231.77</v>
      </c>
      <c r="C13" s="76">
        <v>3343.52</v>
      </c>
      <c r="D13" s="25" t="s">
        <v>19</v>
      </c>
      <c r="E13" s="76" t="s">
        <v>23</v>
      </c>
      <c r="F13" s="83">
        <f>11854+10315</f>
        <v>22169</v>
      </c>
      <c r="G13" s="83">
        <f>18826+1112+363</f>
        <v>20301</v>
      </c>
      <c r="H13" s="83">
        <f>15+89+15+15+15+15</f>
        <v>164</v>
      </c>
      <c r="I13" s="83">
        <f>F13-(G13+H13)</f>
        <v>1704</v>
      </c>
      <c r="J13" s="85">
        <v>1704</v>
      </c>
      <c r="K13" s="80" t="s">
        <v>68</v>
      </c>
      <c r="L13" s="75">
        <v>1704</v>
      </c>
      <c r="M13" s="76"/>
      <c r="N13" s="76"/>
      <c r="O13" s="121">
        <v>3360.5079999999998</v>
      </c>
      <c r="P13" s="78">
        <f>O13*P3</f>
        <v>16096.83332</v>
      </c>
      <c r="Q13" s="125">
        <f>O13-I13</f>
        <v>1656.5079999999998</v>
      </c>
      <c r="R13" s="125"/>
      <c r="S13" s="96">
        <f>-(Q13*P3)</f>
        <v>-7934.673319999999</v>
      </c>
    </row>
    <row r="14" spans="1:19" ht="20.100000000000001" customHeight="1" x14ac:dyDescent="0.25">
      <c r="A14" s="24">
        <v>44896</v>
      </c>
      <c r="B14" s="77"/>
      <c r="C14" s="77"/>
      <c r="D14" s="25" t="s">
        <v>20</v>
      </c>
      <c r="E14" s="77"/>
      <c r="F14" s="84"/>
      <c r="G14" s="84"/>
      <c r="H14" s="84"/>
      <c r="I14" s="84"/>
      <c r="J14" s="86"/>
      <c r="K14" s="81"/>
      <c r="L14" s="66"/>
      <c r="M14" s="77"/>
      <c r="N14" s="77"/>
      <c r="O14" s="122"/>
      <c r="P14" s="79"/>
      <c r="Q14" s="126"/>
      <c r="R14" s="126"/>
      <c r="S14" s="96"/>
    </row>
    <row r="15" spans="1:19" x14ac:dyDescent="0.25">
      <c r="A15" s="1"/>
      <c r="B15" s="1"/>
      <c r="C15" s="1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31"/>
      <c r="R15" s="32"/>
      <c r="S15" s="19">
        <f>SUM(S7:S13)</f>
        <v>-31685.943719999999</v>
      </c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  <row r="26" spans="2:3" x14ac:dyDescent="0.25">
      <c r="B26" s="1"/>
      <c r="C26" s="1"/>
    </row>
    <row r="27" spans="2:3" x14ac:dyDescent="0.25">
      <c r="B27" s="1"/>
      <c r="C27" s="1"/>
    </row>
    <row r="28" spans="2:3" x14ac:dyDescent="0.25">
      <c r="B28" s="1"/>
      <c r="C28" s="1"/>
    </row>
  </sheetData>
  <sheetProtection algorithmName="SHA-512" hashValue="0U4XNTQc2d2+RrnMW3B0rnkgfOD7Tsb5X+V/BRHrv08A8pfmycssArxY/kg1+YByJOSTl2WxPvKamsI1O+CkeA==" saltValue="34q2AikjFHidvCbVcm+k0g==" spinCount="100000" sheet="1" objects="1" scenarios="1" selectLockedCells="1" selectUnlockedCells="1"/>
  <mergeCells count="89">
    <mergeCell ref="A1:S1"/>
    <mergeCell ref="S4:S5"/>
    <mergeCell ref="S7:S8"/>
    <mergeCell ref="S9:S10"/>
    <mergeCell ref="S11:S12"/>
    <mergeCell ref="H4:H5"/>
    <mergeCell ref="I4:I5"/>
    <mergeCell ref="K4:L4"/>
    <mergeCell ref="M4:M5"/>
    <mergeCell ref="E4:E5"/>
    <mergeCell ref="M7:M8"/>
    <mergeCell ref="N7:N8"/>
    <mergeCell ref="O7:O8"/>
    <mergeCell ref="N4:N5"/>
    <mergeCell ref="O4:O5"/>
    <mergeCell ref="H9:H10"/>
    <mergeCell ref="S13:S14"/>
    <mergeCell ref="A2:D2"/>
    <mergeCell ref="A4:A5"/>
    <mergeCell ref="B4:B5"/>
    <mergeCell ref="C4:C5"/>
    <mergeCell ref="D4:D5"/>
    <mergeCell ref="P4:P5"/>
    <mergeCell ref="Q4:R4"/>
    <mergeCell ref="B7:B8"/>
    <mergeCell ref="C7:C8"/>
    <mergeCell ref="E7:E8"/>
    <mergeCell ref="F7:F8"/>
    <mergeCell ref="G7:G8"/>
    <mergeCell ref="H7:H8"/>
    <mergeCell ref="F4:F5"/>
    <mergeCell ref="G4:G5"/>
    <mergeCell ref="I9:I10"/>
    <mergeCell ref="I7:I8"/>
    <mergeCell ref="K7:K8"/>
    <mergeCell ref="L7:L8"/>
    <mergeCell ref="O9:O10"/>
    <mergeCell ref="M9:M10"/>
    <mergeCell ref="N9:N10"/>
    <mergeCell ref="R7:R8"/>
    <mergeCell ref="P11:P12"/>
    <mergeCell ref="Q11:Q12"/>
    <mergeCell ref="Q9:Q10"/>
    <mergeCell ref="R9:R10"/>
    <mergeCell ref="P9:P10"/>
    <mergeCell ref="P7:P8"/>
    <mergeCell ref="Q7:Q8"/>
    <mergeCell ref="B11:B12"/>
    <mergeCell ref="C11:C12"/>
    <mergeCell ref="E11:E12"/>
    <mergeCell ref="F11:F12"/>
    <mergeCell ref="G11:G12"/>
    <mergeCell ref="B9:B10"/>
    <mergeCell ref="C9:C10"/>
    <mergeCell ref="E9:E10"/>
    <mergeCell ref="F9:F10"/>
    <mergeCell ref="G9:G10"/>
    <mergeCell ref="H13:H14"/>
    <mergeCell ref="I13:I14"/>
    <mergeCell ref="K13:K14"/>
    <mergeCell ref="L13:L14"/>
    <mergeCell ref="L11:L12"/>
    <mergeCell ref="H11:H12"/>
    <mergeCell ref="I11:I12"/>
    <mergeCell ref="K11:K12"/>
    <mergeCell ref="J11:J12"/>
    <mergeCell ref="J2:N2"/>
    <mergeCell ref="J3:N3"/>
    <mergeCell ref="J13:J14"/>
    <mergeCell ref="M13:M14"/>
    <mergeCell ref="N13:N14"/>
    <mergeCell ref="M11:M12"/>
    <mergeCell ref="N11:N12"/>
    <mergeCell ref="J4:J5"/>
    <mergeCell ref="J7:J8"/>
    <mergeCell ref="K9:K10"/>
    <mergeCell ref="L9:L10"/>
    <mergeCell ref="J9:J10"/>
    <mergeCell ref="O13:O14"/>
    <mergeCell ref="P13:P14"/>
    <mergeCell ref="Q13:Q14"/>
    <mergeCell ref="R13:R14"/>
    <mergeCell ref="R11:R12"/>
    <mergeCell ref="O11:O12"/>
    <mergeCell ref="B13:B14"/>
    <mergeCell ref="C13:C14"/>
    <mergeCell ref="E13:E14"/>
    <mergeCell ref="F13:F14"/>
    <mergeCell ref="G13:G1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28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2775.6</v>
      </c>
      <c r="C7" s="13">
        <v>1032.4000000000001</v>
      </c>
      <c r="D7" s="25" t="s">
        <v>21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826</v>
      </c>
      <c r="M7" s="40"/>
      <c r="N7" s="40"/>
      <c r="O7" s="127">
        <v>825.91800000000001</v>
      </c>
      <c r="P7" s="52">
        <f>O7*P2</f>
        <v>3634.0392000000002</v>
      </c>
      <c r="Q7" s="129">
        <v>0</v>
      </c>
      <c r="R7" s="47"/>
      <c r="S7" s="20">
        <v>0</v>
      </c>
    </row>
    <row r="8" spans="1:19" ht="39.75" customHeight="1" x14ac:dyDescent="0.25">
      <c r="A8" s="24">
        <v>44835</v>
      </c>
      <c r="B8" s="13">
        <v>2775.6</v>
      </c>
      <c r="C8" s="13">
        <v>1032.4000000000001</v>
      </c>
      <c r="D8" s="25" t="s">
        <v>21</v>
      </c>
      <c r="E8" s="13" t="s">
        <v>23</v>
      </c>
      <c r="F8" s="14">
        <v>5871.4</v>
      </c>
      <c r="G8" s="14">
        <f>4955+245+86</f>
        <v>5286</v>
      </c>
      <c r="H8" s="14">
        <f>5+14+15</f>
        <v>34</v>
      </c>
      <c r="I8" s="14">
        <f>F8-(G8+H8)</f>
        <v>551.39999999999964</v>
      </c>
      <c r="J8" s="38">
        <v>551</v>
      </c>
      <c r="K8" s="42" t="s">
        <v>65</v>
      </c>
      <c r="L8" s="43">
        <v>551</v>
      </c>
      <c r="M8" s="44"/>
      <c r="N8" s="44"/>
      <c r="O8" s="127">
        <v>825.91800000000001</v>
      </c>
      <c r="P8" s="52">
        <f>O8*P2</f>
        <v>3634.0392000000002</v>
      </c>
      <c r="Q8" s="130">
        <f>O8-J8</f>
        <v>274.91800000000001</v>
      </c>
      <c r="R8" s="49"/>
      <c r="S8" s="20">
        <f>-(Q8*P2)</f>
        <v>-1209.6392000000001</v>
      </c>
    </row>
    <row r="9" spans="1:19" ht="39.75" customHeight="1" x14ac:dyDescent="0.25">
      <c r="A9" s="24">
        <v>44866</v>
      </c>
      <c r="B9" s="13">
        <v>2775.6</v>
      </c>
      <c r="C9" s="13">
        <v>1032.4000000000001</v>
      </c>
      <c r="D9" s="25" t="s">
        <v>21</v>
      </c>
      <c r="E9" s="13" t="s">
        <v>23</v>
      </c>
      <c r="F9" s="9">
        <v>6324.88</v>
      </c>
      <c r="G9" s="5">
        <f>5418+258+91</f>
        <v>5767</v>
      </c>
      <c r="H9" s="5">
        <f>5+14+15</f>
        <v>34</v>
      </c>
      <c r="I9" s="14">
        <f t="shared" ref="I9:I10" si="0">F9-(G9+H9)</f>
        <v>523.88000000000011</v>
      </c>
      <c r="J9" s="38">
        <v>524</v>
      </c>
      <c r="K9" s="42" t="s">
        <v>67</v>
      </c>
      <c r="L9" s="43">
        <v>524</v>
      </c>
      <c r="M9" s="44"/>
      <c r="N9" s="44"/>
      <c r="O9" s="127">
        <v>825.91800000000001</v>
      </c>
      <c r="P9" s="52">
        <f>O9*P2</f>
        <v>3634.0392000000002</v>
      </c>
      <c r="Q9" s="130">
        <f>O9-J9</f>
        <v>301.91800000000001</v>
      </c>
      <c r="R9" s="49"/>
      <c r="S9" s="20">
        <f>-(Q9*P2)</f>
        <v>-1328.4392</v>
      </c>
    </row>
    <row r="10" spans="1:19" ht="39.75" customHeight="1" x14ac:dyDescent="0.25">
      <c r="A10" s="24">
        <v>44896</v>
      </c>
      <c r="B10" s="5">
        <v>2775.6</v>
      </c>
      <c r="C10" s="5">
        <v>1032.4000000000001</v>
      </c>
      <c r="D10" s="25" t="s">
        <v>21</v>
      </c>
      <c r="E10" s="5" t="s">
        <v>23</v>
      </c>
      <c r="F10" s="5">
        <v>5603</v>
      </c>
      <c r="G10" s="5">
        <f>4766+228+78</f>
        <v>5072</v>
      </c>
      <c r="H10" s="5">
        <f>5+14+15</f>
        <v>34</v>
      </c>
      <c r="I10" s="8">
        <f t="shared" si="0"/>
        <v>497</v>
      </c>
      <c r="J10" s="38">
        <v>497</v>
      </c>
      <c r="K10" s="42" t="s">
        <v>68</v>
      </c>
      <c r="L10" s="43">
        <v>497</v>
      </c>
      <c r="M10" s="43"/>
      <c r="N10" s="43"/>
      <c r="O10" s="128">
        <v>825.91800000000001</v>
      </c>
      <c r="P10" s="54">
        <f>O10*P3</f>
        <v>3956.1472199999998</v>
      </c>
      <c r="Q10" s="130">
        <f>O10-J10</f>
        <v>328.91800000000001</v>
      </c>
      <c r="R10" s="49"/>
      <c r="S10" s="20">
        <f>-(Q10*P3)</f>
        <v>-1575.51722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7"/>
      <c r="R11" s="28"/>
      <c r="S11" s="19">
        <f>SUM(S8:S10)</f>
        <v>-4113.5956200000001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6"/>
      <c r="S12" s="21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tgTGBr0RUYW/aF0IuHYTNbqA/aRQAc0LeYki6Bp+mzpvxOaWsEyjWN9QX6lKKWxnbKANVaCTE9p74O+LEN69iw==" saltValue="996aUSWOmimuQ89X+mGUxg==" spinCount="100000" sheet="1" objects="1" scenarios="1" selectLockedCells="1" selectUnlockedCells="1"/>
  <mergeCells count="21">
    <mergeCell ref="S4:S5"/>
    <mergeCell ref="A1:S1"/>
    <mergeCell ref="O4:O5"/>
    <mergeCell ref="P4:P5"/>
    <mergeCell ref="Q4:R4"/>
    <mergeCell ref="F4:F5"/>
    <mergeCell ref="G4:G5"/>
    <mergeCell ref="H4:H5"/>
    <mergeCell ref="I4:I5"/>
    <mergeCell ref="K4:L4"/>
    <mergeCell ref="M4:M5"/>
    <mergeCell ref="A2:D2"/>
    <mergeCell ref="A4:A5"/>
    <mergeCell ref="B4:B5"/>
    <mergeCell ref="C4:C5"/>
    <mergeCell ref="D4:D5"/>
    <mergeCell ref="E4:E5"/>
    <mergeCell ref="N4:N5"/>
    <mergeCell ref="J2:N2"/>
    <mergeCell ref="J3:N3"/>
    <mergeCell ref="J4:J5"/>
  </mergeCells>
  <pageMargins left="0.25" right="0.25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29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3907.2</v>
      </c>
      <c r="C7" s="13">
        <v>1147.5</v>
      </c>
      <c r="D7" s="25" t="s">
        <v>30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918</v>
      </c>
      <c r="M7" s="40"/>
      <c r="N7" s="40"/>
      <c r="O7" s="52">
        <v>917.99</v>
      </c>
      <c r="P7" s="52">
        <f>O7*P2</f>
        <v>4039.1560000000004</v>
      </c>
      <c r="Q7" s="47">
        <v>0</v>
      </c>
      <c r="R7" s="40"/>
      <c r="S7" s="20">
        <v>0</v>
      </c>
    </row>
    <row r="8" spans="1:19" ht="39.75" customHeight="1" x14ac:dyDescent="0.25">
      <c r="A8" s="24">
        <v>44835</v>
      </c>
      <c r="B8" s="13">
        <v>3907.2</v>
      </c>
      <c r="C8" s="13">
        <v>1147.5</v>
      </c>
      <c r="D8" s="25" t="s">
        <v>30</v>
      </c>
      <c r="E8" s="13" t="s">
        <v>23</v>
      </c>
      <c r="F8" s="14">
        <v>4894.72</v>
      </c>
      <c r="G8" s="14">
        <f>4615+298+111</f>
        <v>5024</v>
      </c>
      <c r="H8" s="14">
        <f>5+14+15</f>
        <v>34</v>
      </c>
      <c r="I8" s="14">
        <f>F8-(G8+H8)</f>
        <v>-163.27999999999975</v>
      </c>
      <c r="J8" s="38">
        <f>I8</f>
        <v>-163.27999999999975</v>
      </c>
      <c r="K8" s="42" t="s">
        <v>65</v>
      </c>
      <c r="L8" s="49">
        <v>0</v>
      </c>
      <c r="M8" s="44"/>
      <c r="N8" s="44"/>
      <c r="O8" s="62">
        <v>917.99</v>
      </c>
      <c r="P8" s="52">
        <f>O8*P2</f>
        <v>4039.1560000000004</v>
      </c>
      <c r="Q8" s="120">
        <f>O8</f>
        <v>917.99</v>
      </c>
      <c r="R8" s="120"/>
      <c r="S8" s="20">
        <f>-(Q8*P2)</f>
        <v>-4039.1560000000004</v>
      </c>
    </row>
    <row r="9" spans="1:19" ht="39.75" customHeight="1" x14ac:dyDescent="0.25">
      <c r="A9" s="24">
        <v>44866</v>
      </c>
      <c r="B9" s="13">
        <v>3907.2</v>
      </c>
      <c r="C9" s="13">
        <v>1147.5</v>
      </c>
      <c r="D9" s="25" t="s">
        <v>30</v>
      </c>
      <c r="E9" s="13" t="s">
        <v>23</v>
      </c>
      <c r="F9" s="9">
        <v>6625.44</v>
      </c>
      <c r="G9" s="5">
        <f>4740+293+81</f>
        <v>5114</v>
      </c>
      <c r="H9" s="5">
        <f>5+14+15</f>
        <v>34</v>
      </c>
      <c r="I9" s="14">
        <f t="shared" ref="I9:I10" si="0">F9-(G9+H9)</f>
        <v>1477.4399999999996</v>
      </c>
      <c r="J9" s="38">
        <v>1314</v>
      </c>
      <c r="K9" s="42" t="s">
        <v>67</v>
      </c>
      <c r="L9" s="49">
        <v>1477</v>
      </c>
      <c r="M9" s="55">
        <f>R9/C9</f>
        <v>0.34524618736383428</v>
      </c>
      <c r="N9" s="55">
        <f>M9*P2</f>
        <v>1.519083224400871</v>
      </c>
      <c r="O9" s="62">
        <v>917.99</v>
      </c>
      <c r="P9" s="52">
        <f>O9*P2</f>
        <v>4039.1560000000004</v>
      </c>
      <c r="Q9" s="120"/>
      <c r="R9" s="120">
        <f>J9-O9</f>
        <v>396.01</v>
      </c>
      <c r="S9" s="20">
        <f>R9*P2</f>
        <v>1742.4440000000002</v>
      </c>
    </row>
    <row r="10" spans="1:19" ht="39.75" customHeight="1" x14ac:dyDescent="0.25">
      <c r="A10" s="24">
        <v>44896</v>
      </c>
      <c r="B10" s="5">
        <v>3907.2</v>
      </c>
      <c r="C10" s="5">
        <v>1147.5</v>
      </c>
      <c r="D10" s="25" t="s">
        <v>30</v>
      </c>
      <c r="E10" s="5" t="s">
        <v>23</v>
      </c>
      <c r="F10" s="5">
        <v>6836</v>
      </c>
      <c r="G10" s="5">
        <f>6040+293+81</f>
        <v>6414</v>
      </c>
      <c r="H10" s="5">
        <f>5+14+15</f>
        <v>34</v>
      </c>
      <c r="I10" s="8">
        <f t="shared" si="0"/>
        <v>388</v>
      </c>
      <c r="J10" s="38">
        <f>I10</f>
        <v>388</v>
      </c>
      <c r="K10" s="42" t="s">
        <v>68</v>
      </c>
      <c r="L10" s="49">
        <v>388</v>
      </c>
      <c r="M10" s="43"/>
      <c r="N10" s="43"/>
      <c r="O10" s="54">
        <v>917.99</v>
      </c>
      <c r="P10" s="54">
        <f>O10*P3</f>
        <v>4397.1720999999998</v>
      </c>
      <c r="Q10" s="120">
        <v>529.99</v>
      </c>
      <c r="R10" s="120"/>
      <c r="S10" s="20">
        <f>-(Q10*P3)</f>
        <v>-2538.6521000000002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7"/>
      <c r="R11" s="28"/>
      <c r="S11" s="19">
        <f>SUM(S8:S10)</f>
        <v>-4834.660100000001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6"/>
      <c r="S12" s="21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E3baTpYeh5LK23xOk6gl8QMMtZ38Ip2VsUtX8p9b8PFypMW4QuqjPD11izS1pI3cbk38SKrCLqdWLIUqsDbuOQ==" saltValue="ct7vS7ge6l41QQKGb2k/yg==" spinCount="100000" sheet="1" objects="1" scenarios="1" selectLockedCells="1" selectUnlockedCells="1"/>
  <mergeCells count="21">
    <mergeCell ref="A1:S1"/>
    <mergeCell ref="M4:M5"/>
    <mergeCell ref="N4:N5"/>
    <mergeCell ref="O4:O5"/>
    <mergeCell ref="P4:P5"/>
    <mergeCell ref="S4:S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J2:N2"/>
    <mergeCell ref="J3:N3"/>
    <mergeCell ref="J4:J5"/>
  </mergeCells>
  <pageMargins left="0.25" right="0.25" top="0.75" bottom="0.75" header="0.3" footer="0.3"/>
  <pageSetup paperSize="9"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78" zoomScaleNormal="78" workbookViewId="0">
      <selection activeCell="A2" sqref="A2:D2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20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ht="20.100000000000001" customHeight="1" x14ac:dyDescent="0.25">
      <c r="A2" s="90" t="s">
        <v>31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20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20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20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20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20" ht="39.75" customHeight="1" x14ac:dyDescent="0.25">
      <c r="A7" s="24">
        <v>44805</v>
      </c>
      <c r="B7" s="13">
        <v>3793.8</v>
      </c>
      <c r="C7" s="13">
        <v>1310.3</v>
      </c>
      <c r="D7" s="25" t="s">
        <v>32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1035</v>
      </c>
      <c r="M7" s="40"/>
      <c r="N7" s="40"/>
      <c r="O7" s="127">
        <v>1035.1389999999999</v>
      </c>
      <c r="P7" s="52">
        <f>O7*P2</f>
        <v>4554.6116000000002</v>
      </c>
      <c r="Q7" s="129">
        <v>0</v>
      </c>
      <c r="R7" s="40"/>
      <c r="S7" s="20">
        <v>0</v>
      </c>
    </row>
    <row r="8" spans="1:20" ht="39.75" customHeight="1" x14ac:dyDescent="0.25">
      <c r="A8" s="24">
        <v>44835</v>
      </c>
      <c r="B8" s="13">
        <v>3793.8</v>
      </c>
      <c r="C8" s="13">
        <v>1310.3</v>
      </c>
      <c r="D8" s="25" t="s">
        <v>32</v>
      </c>
      <c r="E8" s="13" t="s">
        <v>23</v>
      </c>
      <c r="F8" s="14">
        <v>7642.16</v>
      </c>
      <c r="G8" s="14">
        <f>7837+337+97</f>
        <v>8271</v>
      </c>
      <c r="H8" s="14">
        <f>14+15</f>
        <v>29</v>
      </c>
      <c r="I8" s="14">
        <f>F8-(G8+H8)</f>
        <v>-657.84000000000015</v>
      </c>
      <c r="J8" s="38">
        <f>I8</f>
        <v>-657.84000000000015</v>
      </c>
      <c r="K8" s="42" t="s">
        <v>65</v>
      </c>
      <c r="L8" s="49">
        <v>0</v>
      </c>
      <c r="M8" s="44"/>
      <c r="N8" s="44"/>
      <c r="O8" s="127">
        <v>1035.1389999999999</v>
      </c>
      <c r="P8" s="52">
        <f>O8*P2</f>
        <v>4554.6116000000002</v>
      </c>
      <c r="Q8" s="131">
        <f>O8</f>
        <v>1035.1389999999999</v>
      </c>
      <c r="R8" s="43"/>
      <c r="S8" s="20">
        <f>-(Q8*P2)</f>
        <v>-4554.6116000000002</v>
      </c>
    </row>
    <row r="9" spans="1:20" ht="39.75" customHeight="1" x14ac:dyDescent="0.25">
      <c r="A9" s="24">
        <v>44866</v>
      </c>
      <c r="B9" s="13">
        <v>3793.8</v>
      </c>
      <c r="C9" s="13">
        <v>1310.3</v>
      </c>
      <c r="D9" s="25" t="s">
        <v>32</v>
      </c>
      <c r="E9" s="13" t="s">
        <v>23</v>
      </c>
      <c r="F9" s="9">
        <v>8004.44</v>
      </c>
      <c r="G9" s="5">
        <f>6217+409+153</f>
        <v>6779</v>
      </c>
      <c r="H9" s="5">
        <f>14+15</f>
        <v>29</v>
      </c>
      <c r="I9" s="14">
        <f t="shared" ref="I9:I10" si="0">F9-(G9+H9)</f>
        <v>1196.4399999999996</v>
      </c>
      <c r="J9" s="38">
        <v>538</v>
      </c>
      <c r="K9" s="42" t="s">
        <v>67</v>
      </c>
      <c r="L9" s="49">
        <v>538</v>
      </c>
      <c r="M9" s="43"/>
      <c r="N9" s="43"/>
      <c r="O9" s="127">
        <v>1035.1389999999999</v>
      </c>
      <c r="P9" s="54">
        <f>O9*P2</f>
        <v>4554.6116000000002</v>
      </c>
      <c r="Q9" s="131">
        <f>O9-J9</f>
        <v>497.1389999999999</v>
      </c>
      <c r="R9" s="43"/>
      <c r="S9" s="20">
        <f>-(Q9*P2)</f>
        <v>-2187.4115999999999</v>
      </c>
    </row>
    <row r="10" spans="1:20" ht="39.75" customHeight="1" x14ac:dyDescent="0.25">
      <c r="A10" s="24">
        <v>44896</v>
      </c>
      <c r="B10" s="5">
        <v>3793.8</v>
      </c>
      <c r="C10" s="5">
        <v>1310.3</v>
      </c>
      <c r="D10" s="25" t="s">
        <v>32</v>
      </c>
      <c r="E10" s="5" t="s">
        <v>23</v>
      </c>
      <c r="F10" s="5">
        <f>8582</f>
        <v>8582</v>
      </c>
      <c r="G10" s="5">
        <f>359+130+6530</f>
        <v>7019</v>
      </c>
      <c r="H10" s="5">
        <f>14+15</f>
        <v>29</v>
      </c>
      <c r="I10" s="8">
        <f t="shared" si="0"/>
        <v>1534</v>
      </c>
      <c r="J10" s="38">
        <f>I10</f>
        <v>1534</v>
      </c>
      <c r="K10" s="42" t="s">
        <v>68</v>
      </c>
      <c r="L10" s="49">
        <v>1534</v>
      </c>
      <c r="M10" s="43"/>
      <c r="N10" s="43"/>
      <c r="O10" s="128"/>
      <c r="P10" s="54">
        <f>O10*P2</f>
        <v>0</v>
      </c>
      <c r="Q10" s="43"/>
      <c r="R10" s="102" t="s">
        <v>60</v>
      </c>
      <c r="S10" s="103"/>
      <c r="T10" s="12"/>
    </row>
    <row r="11" spans="1:20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6"/>
      <c r="R11" s="27"/>
      <c r="S11" s="22">
        <f>S9+S8+S7</f>
        <v>-6742.0231999999996</v>
      </c>
    </row>
    <row r="12" spans="1:20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6"/>
      <c r="S12" s="21"/>
    </row>
    <row r="13" spans="1:20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20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20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20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8tzAlwFiWUm1oFLcRQKINbOu8zMQWpbfwaR89yAdWJyTbILZScMASfvV98fqvjCg21vwYixid4bL+ujKSLEkGQ==" saltValue="5EPpZoDNHgIp5dWvLjZ6vw==" spinCount="100000" sheet="1" objects="1" scenarios="1" selectLockedCells="1" selectUnlockedCells="1"/>
  <mergeCells count="22">
    <mergeCell ref="S4:S5"/>
    <mergeCell ref="A1:S1"/>
    <mergeCell ref="R10:S10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7" zoomScaleNormal="77" workbookViewId="0">
      <selection activeCell="A2" sqref="A2:D2"/>
    </sheetView>
  </sheetViews>
  <sheetFormatPr defaultRowHeight="15" x14ac:dyDescent="0.25"/>
  <cols>
    <col min="1" max="1" width="13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33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10</v>
      </c>
      <c r="L6" s="37">
        <v>11</v>
      </c>
      <c r="M6" s="37">
        <v>12</v>
      </c>
      <c r="N6" s="37">
        <v>13</v>
      </c>
      <c r="O6" s="37">
        <v>14</v>
      </c>
      <c r="P6" s="37">
        <v>15</v>
      </c>
      <c r="Q6" s="37">
        <v>16</v>
      </c>
      <c r="R6" s="37">
        <v>17</v>
      </c>
      <c r="S6" s="11">
        <v>18</v>
      </c>
    </row>
    <row r="7" spans="1:19" ht="39.75" customHeight="1" x14ac:dyDescent="0.25">
      <c r="A7" s="24">
        <v>44805</v>
      </c>
      <c r="B7" s="13">
        <v>4689.3</v>
      </c>
      <c r="C7" s="13">
        <v>1555.7</v>
      </c>
      <c r="D7" s="25" t="s">
        <v>34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1245</v>
      </c>
      <c r="M7" s="40"/>
      <c r="N7" s="40"/>
      <c r="O7" s="118">
        <v>1244.558</v>
      </c>
      <c r="P7" s="52">
        <f>O7*P2</f>
        <v>5476.0552000000007</v>
      </c>
      <c r="Q7" s="127"/>
      <c r="R7" s="40"/>
      <c r="S7" s="20">
        <v>0</v>
      </c>
    </row>
    <row r="8" spans="1:19" ht="39.75" customHeight="1" x14ac:dyDescent="0.25">
      <c r="A8" s="24">
        <v>44835</v>
      </c>
      <c r="B8" s="13">
        <v>4689.3</v>
      </c>
      <c r="C8" s="13">
        <v>1555.7</v>
      </c>
      <c r="D8" s="25" t="s">
        <v>34</v>
      </c>
      <c r="E8" s="13" t="s">
        <v>23</v>
      </c>
      <c r="F8" s="14">
        <v>9617.2800000000007</v>
      </c>
      <c r="G8" s="14">
        <f>8837+184+66</f>
        <v>9087</v>
      </c>
      <c r="H8" s="14">
        <f>10+14+15+15</f>
        <v>54</v>
      </c>
      <c r="I8" s="14">
        <v>476</v>
      </c>
      <c r="J8" s="38">
        <f>I8</f>
        <v>476</v>
      </c>
      <c r="K8" s="42" t="s">
        <v>65</v>
      </c>
      <c r="L8" s="49">
        <v>476</v>
      </c>
      <c r="M8" s="44"/>
      <c r="N8" s="44"/>
      <c r="O8" s="118">
        <v>1244.558</v>
      </c>
      <c r="P8" s="52">
        <f>O8*P2</f>
        <v>5476.0552000000007</v>
      </c>
      <c r="Q8" s="131">
        <f>O8-I8</f>
        <v>768.55799999999999</v>
      </c>
      <c r="R8" s="43"/>
      <c r="S8" s="20">
        <f>-(Q8*P2)</f>
        <v>-3381.6552000000001</v>
      </c>
    </row>
    <row r="9" spans="1:19" ht="39.75" customHeight="1" x14ac:dyDescent="0.25">
      <c r="A9" s="24">
        <v>44866</v>
      </c>
      <c r="B9" s="13">
        <v>4689.3</v>
      </c>
      <c r="C9" s="13">
        <v>1555.7</v>
      </c>
      <c r="D9" s="25" t="s">
        <v>34</v>
      </c>
      <c r="E9" s="13" t="s">
        <v>23</v>
      </c>
      <c r="F9" s="5">
        <v>10262</v>
      </c>
      <c r="G9" s="5">
        <f>9226+199+75</f>
        <v>9500</v>
      </c>
      <c r="H9" s="5">
        <f>10+14+15+15</f>
        <v>54</v>
      </c>
      <c r="I9" s="14">
        <v>708</v>
      </c>
      <c r="J9" s="38">
        <f>I9</f>
        <v>708</v>
      </c>
      <c r="K9" s="42" t="s">
        <v>67</v>
      </c>
      <c r="L9" s="49">
        <v>708</v>
      </c>
      <c r="M9" s="43"/>
      <c r="N9" s="43"/>
      <c r="O9" s="118">
        <v>1244.558</v>
      </c>
      <c r="P9" s="54">
        <f>O9*P2</f>
        <v>5476.0552000000007</v>
      </c>
      <c r="Q9" s="131">
        <f>O9-L9</f>
        <v>536.55799999999999</v>
      </c>
      <c r="R9" s="43"/>
      <c r="S9" s="20">
        <f>-(Q9*P2)</f>
        <v>-2360.8552</v>
      </c>
    </row>
    <row r="10" spans="1:19" ht="39.75" customHeight="1" x14ac:dyDescent="0.25">
      <c r="A10" s="24">
        <v>44896</v>
      </c>
      <c r="B10" s="5">
        <v>4689.3</v>
      </c>
      <c r="C10" s="5">
        <v>1555.7</v>
      </c>
      <c r="D10" s="25" t="s">
        <v>34</v>
      </c>
      <c r="E10" s="5" t="s">
        <v>23</v>
      </c>
      <c r="F10" s="5">
        <f>9695</f>
        <v>9695</v>
      </c>
      <c r="G10" s="5">
        <f>9966+165+61</f>
        <v>10192</v>
      </c>
      <c r="H10" s="5">
        <f>10+14+15+15</f>
        <v>54</v>
      </c>
      <c r="I10" s="8">
        <f t="shared" ref="I9:I10" si="0">F10-(G10+H10)</f>
        <v>-551</v>
      </c>
      <c r="J10" s="38">
        <f>I10</f>
        <v>-551</v>
      </c>
      <c r="K10" s="42" t="s">
        <v>68</v>
      </c>
      <c r="L10" s="49">
        <v>0</v>
      </c>
      <c r="M10" s="43"/>
      <c r="N10" s="43"/>
      <c r="O10" s="119">
        <v>1244.558</v>
      </c>
      <c r="P10" s="54">
        <f>O10*P3</f>
        <v>5961.43282</v>
      </c>
      <c r="Q10" s="131">
        <f>O10</f>
        <v>1244.558</v>
      </c>
      <c r="R10" s="43"/>
      <c r="S10" s="20">
        <f>-(Q10*P3)</f>
        <v>-5961.43282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7"/>
      <c r="R11" s="28"/>
      <c r="S11" s="19">
        <f>SUM(S7:S10)</f>
        <v>-11702.711219999997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6"/>
      <c r="S12" s="21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9aK4pOlV6WJppI+I/m2Gflju802lawZJ8ohRL7Ep/QrLHvFJQaVeAZRBNa0c0Q9rCfmQSZM5n/jUwCpuW1pcHQ==" saltValue="Tz4qKhI+/heXm0PyMTKsyQ==" spinCount="100000" sheet="1" objects="1" scenarios="1" selectLockedCells="1" selectUnlockedCells="1"/>
  <mergeCells count="21">
    <mergeCell ref="S4:S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10.42578125" style="3" bestFit="1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35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3375.7</v>
      </c>
      <c r="C7" s="13">
        <v>221.5</v>
      </c>
      <c r="D7" s="25" t="s">
        <v>36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160</v>
      </c>
      <c r="M7" s="40"/>
      <c r="N7" s="40"/>
      <c r="O7" s="118">
        <v>159.483</v>
      </c>
      <c r="P7" s="52">
        <f>O7*P2</f>
        <v>701.72520000000009</v>
      </c>
      <c r="Q7" s="127"/>
      <c r="R7" s="40"/>
      <c r="S7" s="20">
        <v>0</v>
      </c>
    </row>
    <row r="8" spans="1:19" ht="39.75" customHeight="1" x14ac:dyDescent="0.25">
      <c r="A8" s="24">
        <v>44835</v>
      </c>
      <c r="B8" s="13">
        <v>3375.7</v>
      </c>
      <c r="C8" s="13">
        <v>221.5</v>
      </c>
      <c r="D8" s="25" t="s">
        <v>36</v>
      </c>
      <c r="E8" s="13" t="s">
        <v>23</v>
      </c>
      <c r="F8" s="14">
        <v>4692.88</v>
      </c>
      <c r="G8" s="14">
        <f>5632+213+128</f>
        <v>5973</v>
      </c>
      <c r="H8" s="14">
        <f>180+14+15</f>
        <v>209</v>
      </c>
      <c r="I8" s="14">
        <f>F8-(G8+H8)</f>
        <v>-1489.12</v>
      </c>
      <c r="J8" s="38">
        <f>I8</f>
        <v>-1489.12</v>
      </c>
      <c r="K8" s="42" t="s">
        <v>65</v>
      </c>
      <c r="L8" s="49">
        <v>0</v>
      </c>
      <c r="M8" s="44"/>
      <c r="N8" s="44"/>
      <c r="O8" s="118">
        <v>159.483</v>
      </c>
      <c r="P8" s="52">
        <f>O8*P2</f>
        <v>701.72520000000009</v>
      </c>
      <c r="Q8" s="131">
        <f>O8</f>
        <v>159.483</v>
      </c>
      <c r="R8" s="43"/>
      <c r="S8" s="20">
        <f>-(Q8*P2)</f>
        <v>-701.72520000000009</v>
      </c>
    </row>
    <row r="9" spans="1:19" ht="39.75" customHeight="1" x14ac:dyDescent="0.25">
      <c r="A9" s="24">
        <v>44866</v>
      </c>
      <c r="B9" s="13">
        <v>3375.7</v>
      </c>
      <c r="C9" s="13">
        <v>221.5</v>
      </c>
      <c r="D9" s="25" t="s">
        <v>36</v>
      </c>
      <c r="E9" s="13" t="s">
        <v>23</v>
      </c>
      <c r="F9" s="9">
        <v>6778.32</v>
      </c>
      <c r="G9" s="5">
        <f>6675+213+128</f>
        <v>7016</v>
      </c>
      <c r="H9" s="5">
        <f>15+14+190</f>
        <v>219</v>
      </c>
      <c r="I9" s="14">
        <f t="shared" ref="I9:I10" si="0">F9-(G9+H9)</f>
        <v>-456.68000000000029</v>
      </c>
      <c r="J9" s="38">
        <f>J8+I9</f>
        <v>-1945.8000000000002</v>
      </c>
      <c r="K9" s="42" t="s">
        <v>67</v>
      </c>
      <c r="L9" s="49">
        <v>0</v>
      </c>
      <c r="M9" s="43"/>
      <c r="N9" s="43"/>
      <c r="O9" s="118">
        <v>159.483</v>
      </c>
      <c r="P9" s="54">
        <f>O9*P2</f>
        <v>701.72520000000009</v>
      </c>
      <c r="Q9" s="131">
        <f t="shared" ref="Q9:Q10" si="1">O9</f>
        <v>159.483</v>
      </c>
      <c r="R9" s="43"/>
      <c r="S9" s="20">
        <f>-(Q9*P2)</f>
        <v>-701.72520000000009</v>
      </c>
    </row>
    <row r="10" spans="1:19" ht="39.75" customHeight="1" x14ac:dyDescent="0.25">
      <c r="A10" s="24">
        <v>44896</v>
      </c>
      <c r="B10" s="5">
        <v>3375.7</v>
      </c>
      <c r="C10" s="5">
        <v>221.5</v>
      </c>
      <c r="D10" s="25" t="s">
        <v>36</v>
      </c>
      <c r="E10" s="5" t="s">
        <v>23</v>
      </c>
      <c r="F10" s="5">
        <v>5927</v>
      </c>
      <c r="G10" s="5">
        <f>4994+213+128</f>
        <v>5335</v>
      </c>
      <c r="H10" s="5">
        <f>422+14+15</f>
        <v>451</v>
      </c>
      <c r="I10" s="8">
        <f t="shared" si="0"/>
        <v>141</v>
      </c>
      <c r="J10" s="38">
        <f>J9+I10</f>
        <v>-1804.8000000000002</v>
      </c>
      <c r="K10" s="42" t="s">
        <v>68</v>
      </c>
      <c r="L10" s="49">
        <v>0</v>
      </c>
      <c r="M10" s="43"/>
      <c r="N10" s="43"/>
      <c r="O10" s="119">
        <v>159.483</v>
      </c>
      <c r="P10" s="54">
        <f>O10*P3</f>
        <v>763.92357000000004</v>
      </c>
      <c r="Q10" s="131">
        <f t="shared" si="1"/>
        <v>159.483</v>
      </c>
      <c r="R10" s="43"/>
      <c r="S10" s="20">
        <f>-(Q10*P3)</f>
        <v>-763.92357000000004</v>
      </c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7"/>
      <c r="R11" s="28"/>
      <c r="S11" s="19">
        <f>SUM(S7:S10)</f>
        <v>-2167.3739700000001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8"/>
      <c r="R12" s="28"/>
      <c r="S12" s="21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Hn6RRlmma74j+5Qm+G2NtIwUZ9fBG7HSAhJ5sNdP7u2X+k3CzZSFin15ww1BcQu1zSZzX/souD1xMDM0lXJuHA==" saltValue="sYA/ZxcxNa/9bW6OiHIu4g==" spinCount="100000" sheet="1" objects="1" scenarios="1" selectLockedCells="1" selectUnlockedCells="1"/>
  <mergeCells count="21">
    <mergeCell ref="S4:S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8" zoomScaleNormal="78" workbookViewId="0">
      <selection activeCell="A2" sqref="A2:D2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90" t="s">
        <v>37</v>
      </c>
      <c r="B2" s="90"/>
      <c r="C2" s="90"/>
      <c r="D2" s="90"/>
      <c r="J2" s="82" t="s">
        <v>62</v>
      </c>
      <c r="K2" s="82"/>
      <c r="L2" s="82"/>
      <c r="M2" s="82"/>
      <c r="N2" s="82"/>
      <c r="O2" s="15" t="s">
        <v>25</v>
      </c>
      <c r="P2" s="16">
        <v>4.4000000000000004</v>
      </c>
    </row>
    <row r="3" spans="1:19" ht="20.100000000000001" customHeight="1" x14ac:dyDescent="0.25">
      <c r="J3" s="82" t="s">
        <v>62</v>
      </c>
      <c r="K3" s="82"/>
      <c r="L3" s="82"/>
      <c r="M3" s="82"/>
      <c r="N3" s="82"/>
      <c r="O3" s="15" t="s">
        <v>63</v>
      </c>
      <c r="P3" s="16">
        <v>4.79</v>
      </c>
    </row>
    <row r="4" spans="1:19" ht="68.25" customHeight="1" x14ac:dyDescent="0.25">
      <c r="A4" s="91" t="s">
        <v>4</v>
      </c>
      <c r="B4" s="91" t="s">
        <v>3</v>
      </c>
      <c r="C4" s="92" t="s">
        <v>13</v>
      </c>
      <c r="D4" s="101" t="s">
        <v>22</v>
      </c>
      <c r="E4" s="91" t="s">
        <v>0</v>
      </c>
      <c r="F4" s="91" t="s">
        <v>9</v>
      </c>
      <c r="G4" s="91" t="s">
        <v>10</v>
      </c>
      <c r="H4" s="91" t="s">
        <v>11</v>
      </c>
      <c r="I4" s="91" t="s">
        <v>12</v>
      </c>
      <c r="J4" s="98" t="s">
        <v>69</v>
      </c>
      <c r="K4" s="97" t="s">
        <v>5</v>
      </c>
      <c r="L4" s="97"/>
      <c r="M4" s="97" t="s">
        <v>14</v>
      </c>
      <c r="N4" s="97" t="s">
        <v>16</v>
      </c>
      <c r="O4" s="98" t="s">
        <v>15</v>
      </c>
      <c r="P4" s="97" t="s">
        <v>7</v>
      </c>
      <c r="Q4" s="97" t="s">
        <v>6</v>
      </c>
      <c r="R4" s="97"/>
      <c r="S4" s="92" t="s">
        <v>64</v>
      </c>
    </row>
    <row r="5" spans="1:19" ht="78" customHeight="1" x14ac:dyDescent="0.25">
      <c r="A5" s="91"/>
      <c r="B5" s="91"/>
      <c r="C5" s="93"/>
      <c r="D5" s="101"/>
      <c r="E5" s="91"/>
      <c r="F5" s="91"/>
      <c r="G5" s="91"/>
      <c r="H5" s="91"/>
      <c r="I5" s="91"/>
      <c r="J5" s="99"/>
      <c r="K5" s="35" t="s">
        <v>1</v>
      </c>
      <c r="L5" s="35" t="s">
        <v>2</v>
      </c>
      <c r="M5" s="97"/>
      <c r="N5" s="97"/>
      <c r="O5" s="99"/>
      <c r="P5" s="97"/>
      <c r="Q5" s="36" t="s">
        <v>70</v>
      </c>
      <c r="R5" s="60" t="s">
        <v>72</v>
      </c>
      <c r="S5" s="93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  <c r="Q6" s="37">
        <v>17</v>
      </c>
      <c r="R6" s="37">
        <v>18</v>
      </c>
      <c r="S6" s="11">
        <v>18</v>
      </c>
    </row>
    <row r="7" spans="1:19" ht="39.75" customHeight="1" x14ac:dyDescent="0.25">
      <c r="A7" s="24">
        <v>44805</v>
      </c>
      <c r="B7" s="13">
        <v>1245.8</v>
      </c>
      <c r="C7" s="13">
        <v>106.8</v>
      </c>
      <c r="D7" s="25" t="s">
        <v>38</v>
      </c>
      <c r="E7" s="13" t="s">
        <v>23</v>
      </c>
      <c r="F7" s="14"/>
      <c r="G7" s="14"/>
      <c r="H7" s="14"/>
      <c r="I7" s="14"/>
      <c r="J7" s="38"/>
      <c r="K7" s="39" t="s">
        <v>66</v>
      </c>
      <c r="L7" s="47">
        <v>77</v>
      </c>
      <c r="M7" s="40"/>
      <c r="N7" s="40"/>
      <c r="O7" s="118">
        <v>76.896000000000001</v>
      </c>
      <c r="P7" s="52">
        <f>O7*P2</f>
        <v>338.34240000000005</v>
      </c>
      <c r="Q7" s="53">
        <v>0</v>
      </c>
      <c r="R7" s="40"/>
      <c r="S7" s="20">
        <f>-(Q7*P2)</f>
        <v>0</v>
      </c>
    </row>
    <row r="8" spans="1:19" ht="39.75" customHeight="1" x14ac:dyDescent="0.25">
      <c r="A8" s="24">
        <v>44835</v>
      </c>
      <c r="B8" s="13">
        <v>1245.8</v>
      </c>
      <c r="C8" s="13">
        <v>106.8</v>
      </c>
      <c r="D8" s="25" t="s">
        <v>38</v>
      </c>
      <c r="E8" s="13" t="s">
        <v>23</v>
      </c>
      <c r="F8" s="14">
        <v>3111.72</v>
      </c>
      <c r="G8" s="14">
        <f>2905</f>
        <v>2905</v>
      </c>
      <c r="H8" s="14">
        <f>14+15</f>
        <v>29</v>
      </c>
      <c r="I8" s="14">
        <f>F8-(G8+H8)</f>
        <v>177.7199999999998</v>
      </c>
      <c r="J8" s="38">
        <v>178</v>
      </c>
      <c r="K8" s="42" t="s">
        <v>65</v>
      </c>
      <c r="L8" s="49">
        <v>178</v>
      </c>
      <c r="M8" s="44"/>
      <c r="N8" s="44"/>
      <c r="O8" s="118">
        <v>76.896000000000001</v>
      </c>
      <c r="P8" s="52">
        <f>O8*P2</f>
        <v>338.34240000000005</v>
      </c>
      <c r="Q8" s="44"/>
      <c r="R8" s="120">
        <f>J8-O8</f>
        <v>101.104</v>
      </c>
      <c r="S8" s="20">
        <f>R8*P2</f>
        <v>444.85760000000005</v>
      </c>
    </row>
    <row r="9" spans="1:19" ht="39.75" customHeight="1" x14ac:dyDescent="0.25">
      <c r="A9" s="24">
        <v>44866</v>
      </c>
      <c r="B9" s="13">
        <v>1245.8</v>
      </c>
      <c r="C9" s="13">
        <v>106.8</v>
      </c>
      <c r="D9" s="25" t="s">
        <v>38</v>
      </c>
      <c r="E9" s="13" t="s">
        <v>23</v>
      </c>
      <c r="F9" s="9">
        <v>2331.7600000000002</v>
      </c>
      <c r="G9" s="5">
        <f>2106</f>
        <v>2106</v>
      </c>
      <c r="H9" s="5">
        <f>14+15</f>
        <v>29</v>
      </c>
      <c r="I9" s="14">
        <f t="shared" ref="I9:I10" si="0">F9-(G9+H9)</f>
        <v>196.76000000000022</v>
      </c>
      <c r="J9" s="38">
        <v>197</v>
      </c>
      <c r="K9" s="42" t="s">
        <v>67</v>
      </c>
      <c r="L9" s="49">
        <v>197</v>
      </c>
      <c r="M9" s="43"/>
      <c r="N9" s="43"/>
      <c r="O9" s="52"/>
      <c r="P9" s="54">
        <f>O9*P2</f>
        <v>0</v>
      </c>
      <c r="Q9" s="44"/>
      <c r="R9" s="106" t="s">
        <v>59</v>
      </c>
      <c r="S9" s="107"/>
    </row>
    <row r="10" spans="1:19" ht="39.75" customHeight="1" x14ac:dyDescent="0.25">
      <c r="A10" s="24">
        <v>44896</v>
      </c>
      <c r="B10" s="5">
        <v>1245.8</v>
      </c>
      <c r="C10" s="5">
        <v>106.8</v>
      </c>
      <c r="D10" s="25" t="s">
        <v>38</v>
      </c>
      <c r="E10" s="5" t="s">
        <v>23</v>
      </c>
      <c r="F10" s="5">
        <v>1918</v>
      </c>
      <c r="G10" s="5">
        <f>2205</f>
        <v>2205</v>
      </c>
      <c r="H10" s="5">
        <f>14+15</f>
        <v>29</v>
      </c>
      <c r="I10" s="8">
        <f t="shared" si="0"/>
        <v>-316</v>
      </c>
      <c r="J10" s="38">
        <f>I10</f>
        <v>-316</v>
      </c>
      <c r="K10" s="42" t="s">
        <v>68</v>
      </c>
      <c r="L10" s="49">
        <v>0</v>
      </c>
      <c r="M10" s="43"/>
      <c r="N10" s="43"/>
      <c r="O10" s="54"/>
      <c r="P10" s="54">
        <f>O10*P2</f>
        <v>0</v>
      </c>
      <c r="Q10" s="44"/>
      <c r="R10" s="104"/>
      <c r="S10" s="105"/>
    </row>
    <row r="11" spans="1:19" ht="20.100000000000001" customHeight="1" x14ac:dyDescent="0.25">
      <c r="A11" s="1"/>
      <c r="B11" s="1"/>
      <c r="C11" s="1"/>
      <c r="D11" s="29"/>
      <c r="E11" s="26"/>
      <c r="F11" s="26"/>
      <c r="G11" s="26"/>
      <c r="H11" s="26"/>
      <c r="I11" s="26"/>
      <c r="J11" s="26"/>
      <c r="K11" s="61"/>
      <c r="L11" s="26"/>
      <c r="M11" s="26"/>
      <c r="N11" s="26"/>
      <c r="O11" s="26"/>
      <c r="P11" s="26"/>
      <c r="Q11" s="26"/>
      <c r="R11" s="27"/>
      <c r="S11" s="34">
        <f>S7+S8</f>
        <v>444.85760000000005</v>
      </c>
    </row>
    <row r="12" spans="1:19" ht="20.100000000000001" customHeight="1" x14ac:dyDescent="0.25">
      <c r="A12" s="1"/>
      <c r="B12" s="1"/>
      <c r="C12" s="1"/>
      <c r="D12" s="29"/>
      <c r="E12" s="26"/>
      <c r="F12" s="26"/>
      <c r="G12" s="26"/>
      <c r="H12" s="26"/>
      <c r="I12" s="26"/>
      <c r="J12" s="26"/>
      <c r="K12" s="61"/>
      <c r="L12" s="26"/>
      <c r="M12" s="26"/>
      <c r="N12" s="26"/>
      <c r="O12" s="26"/>
      <c r="P12" s="26"/>
      <c r="Q12" s="26"/>
      <c r="R12" s="28"/>
      <c r="S12" s="22"/>
    </row>
    <row r="13" spans="1:19" ht="20.100000000000001" customHeight="1" x14ac:dyDescent="0.25">
      <c r="A13" s="1"/>
      <c r="B13" s="1"/>
      <c r="C13" s="1"/>
      <c r="D13" s="29"/>
      <c r="E13" s="26"/>
      <c r="F13" s="26"/>
      <c r="G13" s="26"/>
      <c r="H13" s="26"/>
      <c r="I13" s="26"/>
      <c r="J13" s="26"/>
      <c r="K13" s="61"/>
      <c r="L13" s="26"/>
      <c r="M13" s="26"/>
      <c r="N13" s="26"/>
      <c r="O13" s="26"/>
      <c r="P13" s="26"/>
      <c r="Q13" s="26"/>
      <c r="R13" s="26"/>
      <c r="S13" s="21"/>
    </row>
    <row r="14" spans="1:19" ht="20.100000000000001" customHeight="1" x14ac:dyDescent="0.25">
      <c r="A14" s="1"/>
      <c r="B14" s="1"/>
      <c r="C14" s="1"/>
      <c r="D14" s="29"/>
      <c r="E14" s="26"/>
      <c r="F14" s="26"/>
      <c r="G14" s="26"/>
      <c r="H14" s="26"/>
      <c r="I14" s="26"/>
      <c r="J14" s="26"/>
      <c r="K14" s="61"/>
      <c r="L14" s="26"/>
      <c r="M14" s="26"/>
      <c r="N14" s="26"/>
      <c r="O14" s="26"/>
      <c r="P14" s="26"/>
      <c r="Q14" s="26"/>
      <c r="R14" s="26"/>
      <c r="S14" s="21"/>
    </row>
    <row r="15" spans="1:19" x14ac:dyDescent="0.25">
      <c r="A15" s="1"/>
      <c r="B15" s="1"/>
      <c r="C15" s="1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1"/>
    </row>
    <row r="16" spans="1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</sheetData>
  <sheetProtection algorithmName="SHA-512" hashValue="4MNEie1TNsSfibOYx9YGvPNEIivamRe/z4vYJPl0iwSI//6EEL6DBEbbBCXvJJT7mSt+u4ohZi3G0E4hTToY4w==" saltValue="e0lPl8VN0pw8jFkPDGGUdA==" spinCount="100000" sheet="1" objects="1" scenarios="1" selectLockedCells="1" selectUnlockedCells="1"/>
  <mergeCells count="23">
    <mergeCell ref="R10:S10"/>
    <mergeCell ref="R9:S9"/>
    <mergeCell ref="H4:H5"/>
    <mergeCell ref="Q4:R4"/>
    <mergeCell ref="I4:I5"/>
    <mergeCell ref="K4:L4"/>
    <mergeCell ref="S4:S5"/>
    <mergeCell ref="M4:M5"/>
    <mergeCell ref="J4:J5"/>
    <mergeCell ref="J2:N2"/>
    <mergeCell ref="J3:N3"/>
    <mergeCell ref="A1:S1"/>
    <mergeCell ref="N4:N5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14Б</vt:lpstr>
      <vt:lpstr>14В</vt:lpstr>
      <vt:lpstr>16</vt:lpstr>
      <vt:lpstr>16 Б</vt:lpstr>
      <vt:lpstr>16 Г</vt:lpstr>
      <vt:lpstr>18 В</vt:lpstr>
      <vt:lpstr>18 Г</vt:lpstr>
      <vt:lpstr>31</vt:lpstr>
      <vt:lpstr>33 А</vt:lpstr>
      <vt:lpstr>33 Б</vt:lpstr>
      <vt:lpstr>35</vt:lpstr>
      <vt:lpstr> 2</vt:lpstr>
      <vt:lpstr> 3</vt:lpstr>
      <vt:lpstr>20</vt:lpstr>
      <vt:lpstr>42 В</vt:lpstr>
      <vt:lpstr>42 Г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Екатерина</cp:lastModifiedBy>
  <cp:lastPrinted>2023-03-27T15:58:36Z</cp:lastPrinted>
  <dcterms:created xsi:type="dcterms:W3CDTF">2015-06-05T18:19:34Z</dcterms:created>
  <dcterms:modified xsi:type="dcterms:W3CDTF">2023-03-27T16:12:28Z</dcterms:modified>
</cp:coreProperties>
</file>