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ack\Общая папка\ОДН\ОДН Для сайта расчеты корректировок за 2022 год\"/>
    </mc:Choice>
  </mc:AlternateContent>
  <bookViews>
    <workbookView xWindow="-105" yWindow="-105" windowWidth="23250" windowHeight="12570" tabRatio="876"/>
  </bookViews>
  <sheets>
    <sheet name="14Б" sheetId="1" r:id="rId1"/>
    <sheet name="14В" sheetId="3" r:id="rId2"/>
    <sheet name="16" sheetId="4" r:id="rId3"/>
    <sheet name="16 Б" sheetId="5" r:id="rId4"/>
    <sheet name="16 Г" sheetId="6" r:id="rId5"/>
    <sheet name="18 Г" sheetId="8" r:id="rId6"/>
    <sheet name="31" sheetId="9" r:id="rId7"/>
    <sheet name=" 3" sheetId="14" r:id="rId8"/>
    <sheet name="20" sheetId="15" r:id="rId9"/>
    <sheet name="42 В" sheetId="16" r:id="rId10"/>
    <sheet name="42 Г" sheetId="17" r:id="rId11"/>
    <sheet name="4" sheetId="18" r:id="rId12"/>
    <sheet name="18 В" sheetId="7" r:id="rId13"/>
    <sheet name="33 А" sheetId="10" r:id="rId14"/>
    <sheet name="33 Б" sheetId="11" r:id="rId15"/>
    <sheet name="35" sheetId="12" r:id="rId16"/>
    <sheet name=" 2" sheetId="13" r:id="rId17"/>
    <sheet name="Лист1" sheetId="19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J17" i="4"/>
  <c r="O39" i="4" l="1"/>
  <c r="O23" i="16"/>
  <c r="O39" i="17"/>
  <c r="S20" i="9"/>
  <c r="S19" i="9"/>
  <c r="O23" i="9"/>
  <c r="Q22" i="9"/>
  <c r="S22" i="9" s="1"/>
  <c r="Q21" i="9"/>
  <c r="S21" i="9" s="1"/>
  <c r="Q20" i="9"/>
  <c r="Q19" i="9"/>
  <c r="Q14" i="9"/>
  <c r="S14" i="9" s="1"/>
  <c r="Q11" i="9"/>
  <c r="S11" i="9" s="1"/>
  <c r="S17" i="8"/>
  <c r="S12" i="8"/>
  <c r="Q22" i="8"/>
  <c r="S22" i="8" s="1"/>
  <c r="Q17" i="8"/>
  <c r="Q15" i="8"/>
  <c r="S15" i="8" s="1"/>
  <c r="Q12" i="8"/>
  <c r="O23" i="8"/>
  <c r="O41" i="1"/>
  <c r="O23" i="6"/>
  <c r="P11" i="6"/>
  <c r="O23" i="5"/>
  <c r="P11" i="5"/>
  <c r="O23" i="3"/>
  <c r="Q15" i="3"/>
  <c r="S15" i="3" s="1"/>
  <c r="Q12" i="3"/>
  <c r="S12" i="3" s="1"/>
  <c r="Q12" i="18"/>
  <c r="S18" i="18"/>
  <c r="S16" i="18"/>
  <c r="S12" i="18"/>
  <c r="S23" i="14"/>
  <c r="R23" i="14"/>
  <c r="O23" i="14"/>
  <c r="P23" i="14"/>
  <c r="O23" i="18"/>
  <c r="Q22" i="18"/>
  <c r="S22" i="18" s="1"/>
  <c r="Q19" i="18"/>
  <c r="S19" i="18" s="1"/>
  <c r="Q18" i="18"/>
  <c r="Q17" i="18"/>
  <c r="S17" i="18" s="1"/>
  <c r="Q16" i="18"/>
  <c r="S22" i="14"/>
  <c r="S21" i="14"/>
  <c r="S20" i="14"/>
  <c r="S18" i="14"/>
  <c r="S17" i="14"/>
  <c r="S16" i="14"/>
  <c r="S14" i="14"/>
  <c r="S13" i="14"/>
  <c r="S12" i="14"/>
  <c r="S11" i="14"/>
  <c r="L24" i="14"/>
  <c r="L18" i="14"/>
  <c r="R18" i="14"/>
  <c r="L23" i="14"/>
  <c r="Q22" i="14"/>
  <c r="Q21" i="14"/>
  <c r="Q20" i="14"/>
  <c r="Q17" i="14"/>
  <c r="Q16" i="14"/>
  <c r="Q14" i="14"/>
  <c r="Q13" i="14"/>
  <c r="Q12" i="14"/>
  <c r="Q11" i="14"/>
  <c r="S27" i="15"/>
  <c r="S17" i="15"/>
  <c r="O39" i="15"/>
  <c r="G37" i="4"/>
  <c r="H22" i="16"/>
  <c r="G22" i="16"/>
  <c r="H37" i="17"/>
  <c r="G37" i="17"/>
  <c r="H22" i="9"/>
  <c r="G22" i="9"/>
  <c r="G22" i="8"/>
  <c r="G39" i="1"/>
  <c r="G22" i="6"/>
  <c r="G22" i="5"/>
  <c r="G22" i="3"/>
  <c r="H22" i="3"/>
  <c r="H22" i="18"/>
  <c r="G22" i="18"/>
  <c r="J22" i="14"/>
  <c r="G22" i="14"/>
  <c r="H37" i="15"/>
  <c r="G37" i="15"/>
  <c r="G35" i="4"/>
  <c r="H21" i="16"/>
  <c r="G21" i="16"/>
  <c r="H35" i="17"/>
  <c r="G35" i="17"/>
  <c r="H21" i="9"/>
  <c r="G21" i="9"/>
  <c r="G21" i="8"/>
  <c r="G37" i="1"/>
  <c r="G21" i="6"/>
  <c r="G21" i="5"/>
  <c r="G21" i="3"/>
  <c r="H21" i="3"/>
  <c r="H21" i="18"/>
  <c r="G21" i="18"/>
  <c r="J21" i="14"/>
  <c r="G21" i="14"/>
  <c r="H35" i="15"/>
  <c r="G35" i="15"/>
  <c r="G33" i="4"/>
  <c r="H20" i="16"/>
  <c r="G20" i="16"/>
  <c r="H33" i="17"/>
  <c r="G33" i="17"/>
  <c r="H20" i="9"/>
  <c r="G20" i="9"/>
  <c r="G20" i="8"/>
  <c r="G35" i="1"/>
  <c r="G20" i="6"/>
  <c r="G20" i="5"/>
  <c r="G20" i="3"/>
  <c r="H20" i="3"/>
  <c r="H20" i="18"/>
  <c r="G20" i="18"/>
  <c r="G20" i="14"/>
  <c r="H33" i="15"/>
  <c r="G33" i="15"/>
  <c r="F31" i="4"/>
  <c r="G31" i="4"/>
  <c r="H19" i="16"/>
  <c r="G19" i="16"/>
  <c r="H31" i="17"/>
  <c r="G31" i="17"/>
  <c r="H19" i="9"/>
  <c r="G19" i="9"/>
  <c r="G19" i="8"/>
  <c r="G33" i="1"/>
  <c r="G19" i="6"/>
  <c r="G19" i="5"/>
  <c r="H19" i="3"/>
  <c r="G19" i="3"/>
  <c r="H19" i="18"/>
  <c r="G19" i="18"/>
  <c r="G19" i="14"/>
  <c r="H31" i="15"/>
  <c r="G31" i="15"/>
  <c r="G29" i="4"/>
  <c r="H18" i="16"/>
  <c r="G18" i="16"/>
  <c r="H29" i="17"/>
  <c r="G29" i="17"/>
  <c r="H18" i="9"/>
  <c r="G18" i="9"/>
  <c r="G18" i="8"/>
  <c r="G31" i="1"/>
  <c r="G18" i="6"/>
  <c r="G18" i="5"/>
  <c r="G18" i="3"/>
  <c r="H18" i="18"/>
  <c r="G18" i="18"/>
  <c r="J17" i="14"/>
  <c r="J18" i="14" s="1"/>
  <c r="G18" i="14"/>
  <c r="H29" i="15"/>
  <c r="G29" i="15"/>
  <c r="F27" i="4"/>
  <c r="G27" i="4"/>
  <c r="H17" i="16"/>
  <c r="G17" i="16"/>
  <c r="G27" i="17"/>
  <c r="H27" i="17"/>
  <c r="H17" i="9"/>
  <c r="G17" i="9"/>
  <c r="G17" i="8"/>
  <c r="G29" i="1"/>
  <c r="G17" i="6"/>
  <c r="G17" i="5"/>
  <c r="G17" i="3"/>
  <c r="G17" i="18"/>
  <c r="H17" i="18"/>
  <c r="G17" i="14"/>
  <c r="H27" i="15"/>
  <c r="G27" i="15"/>
  <c r="G25" i="4"/>
  <c r="H25" i="4"/>
  <c r="H27" i="4"/>
  <c r="H29" i="4"/>
  <c r="H31" i="4"/>
  <c r="H33" i="4"/>
  <c r="H35" i="4"/>
  <c r="H37" i="4"/>
  <c r="H16" i="16"/>
  <c r="G16" i="16"/>
  <c r="H25" i="17"/>
  <c r="G25" i="17"/>
  <c r="H16" i="9"/>
  <c r="G16" i="9"/>
  <c r="G16" i="8"/>
  <c r="G27" i="1"/>
  <c r="G16" i="6"/>
  <c r="G16" i="5"/>
  <c r="H16" i="5"/>
  <c r="H17" i="5"/>
  <c r="H18" i="5"/>
  <c r="H19" i="5"/>
  <c r="H20" i="5"/>
  <c r="H21" i="5"/>
  <c r="H22" i="5"/>
  <c r="G16" i="3"/>
  <c r="H16" i="3"/>
  <c r="H17" i="3"/>
  <c r="H18" i="3"/>
  <c r="H16" i="18"/>
  <c r="G16" i="18"/>
  <c r="G16" i="14"/>
  <c r="H25" i="15"/>
  <c r="G25" i="15"/>
  <c r="I31" i="4" l="1"/>
  <c r="H23" i="4"/>
  <c r="G23" i="4"/>
  <c r="H15" i="16"/>
  <c r="G15" i="16"/>
  <c r="H23" i="17"/>
  <c r="G23" i="17"/>
  <c r="H15" i="9"/>
  <c r="I15" i="9" s="1"/>
  <c r="G15" i="9"/>
  <c r="H15" i="8"/>
  <c r="H16" i="8"/>
  <c r="H17" i="8"/>
  <c r="I17" i="8" s="1"/>
  <c r="J17" i="8" s="1"/>
  <c r="H18" i="8"/>
  <c r="I18" i="8" s="1"/>
  <c r="J18" i="8" s="1"/>
  <c r="L18" i="8" s="1"/>
  <c r="Q18" i="8" s="1"/>
  <c r="S18" i="8" s="1"/>
  <c r="H19" i="8"/>
  <c r="H20" i="8"/>
  <c r="I20" i="8" s="1"/>
  <c r="J20" i="8" s="1"/>
  <c r="H21" i="8"/>
  <c r="I21" i="8" s="1"/>
  <c r="J21" i="8" s="1"/>
  <c r="H22" i="8"/>
  <c r="I22" i="8" s="1"/>
  <c r="J22" i="8" s="1"/>
  <c r="G15" i="8"/>
  <c r="H39" i="1"/>
  <c r="H37" i="1"/>
  <c r="H35" i="1"/>
  <c r="H33" i="1"/>
  <c r="H31" i="1"/>
  <c r="H29" i="1"/>
  <c r="I29" i="1" s="1"/>
  <c r="J29" i="1" s="1"/>
  <c r="L29" i="1" s="1"/>
  <c r="Q29" i="1" s="1"/>
  <c r="S29" i="1" s="1"/>
  <c r="H27" i="1"/>
  <c r="H25" i="1"/>
  <c r="G25" i="1"/>
  <c r="H16" i="6"/>
  <c r="H17" i="6"/>
  <c r="I17" i="6" s="1"/>
  <c r="H18" i="6"/>
  <c r="H19" i="6"/>
  <c r="I19" i="6" s="1"/>
  <c r="H20" i="6"/>
  <c r="H21" i="6"/>
  <c r="H22" i="6"/>
  <c r="I22" i="6" s="1"/>
  <c r="J22" i="6" s="1"/>
  <c r="L22" i="6" s="1"/>
  <c r="Q22" i="6" s="1"/>
  <c r="S22" i="6" s="1"/>
  <c r="H15" i="6"/>
  <c r="I15" i="6" s="1"/>
  <c r="G15" i="6"/>
  <c r="H15" i="5"/>
  <c r="G15" i="5"/>
  <c r="I15" i="5" s="1"/>
  <c r="G15" i="3"/>
  <c r="H15" i="3"/>
  <c r="H15" i="18"/>
  <c r="I15" i="18" s="1"/>
  <c r="G15" i="18"/>
  <c r="L15" i="14"/>
  <c r="J15" i="14"/>
  <c r="G15" i="14"/>
  <c r="J12" i="14"/>
  <c r="J11" i="14"/>
  <c r="L11" i="14" s="1"/>
  <c r="J14" i="14"/>
  <c r="J13" i="14"/>
  <c r="H23" i="15"/>
  <c r="I23" i="15" s="1"/>
  <c r="J23" i="15" s="1"/>
  <c r="G23" i="15"/>
  <c r="H21" i="4"/>
  <c r="G21" i="4"/>
  <c r="I21" i="4" s="1"/>
  <c r="J21" i="4" s="1"/>
  <c r="H14" i="16"/>
  <c r="G14" i="16"/>
  <c r="I14" i="16" s="1"/>
  <c r="J14" i="16" s="1"/>
  <c r="H21" i="17"/>
  <c r="G21" i="17"/>
  <c r="H14" i="9"/>
  <c r="G14" i="9"/>
  <c r="I14" i="9" s="1"/>
  <c r="J14" i="9" s="1"/>
  <c r="H14" i="8"/>
  <c r="G14" i="8"/>
  <c r="H23" i="1"/>
  <c r="G23" i="1"/>
  <c r="H14" i="6"/>
  <c r="G14" i="6"/>
  <c r="H14" i="5"/>
  <c r="I14" i="5" s="1"/>
  <c r="G14" i="5"/>
  <c r="H14" i="3"/>
  <c r="G14" i="3"/>
  <c r="H14" i="18"/>
  <c r="G14" i="18"/>
  <c r="I14" i="18" s="1"/>
  <c r="J14" i="18" s="1"/>
  <c r="L14" i="18" s="1"/>
  <c r="Q14" i="18" s="1"/>
  <c r="G14" i="14"/>
  <c r="H21" i="15"/>
  <c r="G21" i="15"/>
  <c r="H19" i="4"/>
  <c r="G19" i="4"/>
  <c r="H13" i="16"/>
  <c r="I13" i="16" s="1"/>
  <c r="J13" i="16" s="1"/>
  <c r="L13" i="16" s="1"/>
  <c r="Q13" i="16" s="1"/>
  <c r="S13" i="16" s="1"/>
  <c r="G13" i="16"/>
  <c r="H19" i="17"/>
  <c r="I19" i="17" s="1"/>
  <c r="J19" i="17" s="1"/>
  <c r="L19" i="17" s="1"/>
  <c r="R19" i="17" s="1"/>
  <c r="G19" i="17"/>
  <c r="J13" i="9"/>
  <c r="L13" i="9" s="1"/>
  <c r="R13" i="9" s="1"/>
  <c r="H13" i="9"/>
  <c r="G13" i="9"/>
  <c r="H13" i="8"/>
  <c r="G13" i="8"/>
  <c r="H21" i="1"/>
  <c r="I21" i="1" s="1"/>
  <c r="G21" i="1"/>
  <c r="G13" i="6"/>
  <c r="I13" i="6" s="1"/>
  <c r="J13" i="6" s="1"/>
  <c r="L13" i="6" s="1"/>
  <c r="R13" i="6" s="1"/>
  <c r="S13" i="6" s="1"/>
  <c r="H13" i="6"/>
  <c r="H13" i="5"/>
  <c r="G13" i="5"/>
  <c r="I13" i="5" s="1"/>
  <c r="H13" i="3"/>
  <c r="G13" i="3"/>
  <c r="H13" i="18"/>
  <c r="G13" i="18"/>
  <c r="I13" i="18" s="1"/>
  <c r="H22" i="14"/>
  <c r="H21" i="14"/>
  <c r="I21" i="14" s="1"/>
  <c r="H20" i="14"/>
  <c r="H19" i="14"/>
  <c r="H18" i="14"/>
  <c r="H17" i="14"/>
  <c r="I17" i="14" s="1"/>
  <c r="H16" i="14"/>
  <c r="H15" i="14"/>
  <c r="H14" i="14"/>
  <c r="H13" i="14"/>
  <c r="G13" i="14"/>
  <c r="H19" i="15"/>
  <c r="G19" i="15"/>
  <c r="H17" i="4"/>
  <c r="G17" i="4"/>
  <c r="H12" i="16"/>
  <c r="G12" i="16"/>
  <c r="I12" i="16" s="1"/>
  <c r="J12" i="16" s="1"/>
  <c r="H17" i="17"/>
  <c r="G17" i="17"/>
  <c r="L12" i="14"/>
  <c r="H12" i="9"/>
  <c r="G12" i="9"/>
  <c r="I12" i="9" s="1"/>
  <c r="J12" i="9" s="1"/>
  <c r="H12" i="8"/>
  <c r="G12" i="8"/>
  <c r="I12" i="8" s="1"/>
  <c r="J12" i="8" s="1"/>
  <c r="H19" i="1"/>
  <c r="G19" i="1"/>
  <c r="H12" i="6"/>
  <c r="G12" i="6"/>
  <c r="H12" i="5"/>
  <c r="G12" i="5"/>
  <c r="I12" i="5" s="1"/>
  <c r="H12" i="3"/>
  <c r="G12" i="3"/>
  <c r="H12" i="18"/>
  <c r="I12" i="18" s="1"/>
  <c r="G12" i="18"/>
  <c r="H12" i="14"/>
  <c r="G12" i="14"/>
  <c r="H17" i="15"/>
  <c r="G17" i="15"/>
  <c r="G15" i="4"/>
  <c r="H15" i="4"/>
  <c r="H11" i="16"/>
  <c r="G11" i="16"/>
  <c r="I11" i="16" s="1"/>
  <c r="H15" i="17"/>
  <c r="G15" i="17"/>
  <c r="H11" i="9"/>
  <c r="I11" i="9" s="1"/>
  <c r="J11" i="9" s="1"/>
  <c r="G11" i="9"/>
  <c r="H11" i="8"/>
  <c r="I11" i="8" s="1"/>
  <c r="J11" i="8" s="1"/>
  <c r="G11" i="8"/>
  <c r="H17" i="1"/>
  <c r="G17" i="1"/>
  <c r="H11" i="6"/>
  <c r="I11" i="6" s="1"/>
  <c r="J11" i="6" s="1"/>
  <c r="L11" i="6" s="1"/>
  <c r="G11" i="6"/>
  <c r="H11" i="5"/>
  <c r="G11" i="5"/>
  <c r="H11" i="3"/>
  <c r="G11" i="3"/>
  <c r="I17" i="15"/>
  <c r="J17" i="15" s="1"/>
  <c r="L17" i="15" s="1"/>
  <c r="H11" i="18"/>
  <c r="G11" i="18"/>
  <c r="G11" i="14"/>
  <c r="H11" i="14"/>
  <c r="H15" i="15"/>
  <c r="G15" i="15"/>
  <c r="F37" i="17"/>
  <c r="F37" i="15"/>
  <c r="I37" i="15" s="1"/>
  <c r="J37" i="15" s="1"/>
  <c r="F37" i="4"/>
  <c r="I37" i="4" s="1"/>
  <c r="J37" i="4" s="1"/>
  <c r="L37" i="4" s="1"/>
  <c r="Q37" i="4" s="1"/>
  <c r="S37" i="4" s="1"/>
  <c r="F39" i="1"/>
  <c r="F35" i="17"/>
  <c r="F35" i="15"/>
  <c r="I35" i="15" s="1"/>
  <c r="J35" i="15" s="1"/>
  <c r="F35" i="4"/>
  <c r="I35" i="4" s="1"/>
  <c r="J35" i="4" s="1"/>
  <c r="L35" i="4" s="1"/>
  <c r="Q35" i="4" s="1"/>
  <c r="S35" i="4" s="1"/>
  <c r="F37" i="1"/>
  <c r="F33" i="17"/>
  <c r="F33" i="15"/>
  <c r="I33" i="15" s="1"/>
  <c r="J33" i="15" s="1"/>
  <c r="L33" i="15" s="1"/>
  <c r="Q33" i="15" s="1"/>
  <c r="S33" i="15" s="1"/>
  <c r="F33" i="4"/>
  <c r="F35" i="1"/>
  <c r="I35" i="1" s="1"/>
  <c r="J35" i="1" s="1"/>
  <c r="L35" i="1" s="1"/>
  <c r="Q35" i="1" s="1"/>
  <c r="S35" i="1" s="1"/>
  <c r="F31" i="17"/>
  <c r="I31" i="17" s="1"/>
  <c r="J31" i="17" s="1"/>
  <c r="F31" i="15"/>
  <c r="I31" i="15" s="1"/>
  <c r="J31" i="15" s="1"/>
  <c r="F33" i="1"/>
  <c r="I33" i="1" s="1"/>
  <c r="J33" i="1" s="1"/>
  <c r="L33" i="1" s="1"/>
  <c r="Q33" i="1" s="1"/>
  <c r="S33" i="1" s="1"/>
  <c r="F29" i="17"/>
  <c r="I29" i="17" s="1"/>
  <c r="F29" i="15"/>
  <c r="I29" i="15" s="1"/>
  <c r="F29" i="4"/>
  <c r="F31" i="1"/>
  <c r="I31" i="1" s="1"/>
  <c r="J31" i="1" s="1"/>
  <c r="L31" i="1" s="1"/>
  <c r="R31" i="1" s="1"/>
  <c r="S31" i="1" s="1"/>
  <c r="F27" i="17"/>
  <c r="F27" i="15"/>
  <c r="I27" i="15" s="1"/>
  <c r="J27" i="15" s="1"/>
  <c r="F29" i="1"/>
  <c r="F25" i="17"/>
  <c r="I25" i="17" s="1"/>
  <c r="J25" i="17" s="1"/>
  <c r="L25" i="17" s="1"/>
  <c r="Q25" i="17" s="1"/>
  <c r="S25" i="17" s="1"/>
  <c r="F25" i="15"/>
  <c r="F25" i="4"/>
  <c r="F27" i="1"/>
  <c r="I27" i="1" s="1"/>
  <c r="F23" i="17"/>
  <c r="I23" i="17" s="1"/>
  <c r="F23" i="15"/>
  <c r="F23" i="4"/>
  <c r="F25" i="1"/>
  <c r="I25" i="1" s="1"/>
  <c r="J25" i="1" s="1"/>
  <c r="L25" i="1" s="1"/>
  <c r="Q25" i="1" s="1"/>
  <c r="S25" i="1" s="1"/>
  <c r="F21" i="17"/>
  <c r="F21" i="15"/>
  <c r="F21" i="4"/>
  <c r="F23" i="1"/>
  <c r="F19" i="17"/>
  <c r="F19" i="15"/>
  <c r="F19" i="4"/>
  <c r="I19" i="4" s="1"/>
  <c r="F21" i="1"/>
  <c r="F17" i="17"/>
  <c r="F17" i="15"/>
  <c r="F17" i="4"/>
  <c r="F19" i="1"/>
  <c r="F15" i="17"/>
  <c r="F15" i="15"/>
  <c r="F15" i="4"/>
  <c r="F11" i="3"/>
  <c r="F17" i="1"/>
  <c r="I17" i="1" s="1"/>
  <c r="J17" i="1" s="1"/>
  <c r="L17" i="1" s="1"/>
  <c r="P13" i="17"/>
  <c r="P37" i="17"/>
  <c r="P35" i="17"/>
  <c r="P33" i="17"/>
  <c r="P31" i="17"/>
  <c r="P29" i="17"/>
  <c r="P27" i="17"/>
  <c r="P25" i="17"/>
  <c r="P23" i="17"/>
  <c r="P21" i="17"/>
  <c r="P19" i="17"/>
  <c r="P17" i="17"/>
  <c r="P15" i="17"/>
  <c r="I37" i="17"/>
  <c r="J37" i="17" s="1"/>
  <c r="I35" i="17"/>
  <c r="J35" i="17" s="1"/>
  <c r="I33" i="17"/>
  <c r="J33" i="17" s="1"/>
  <c r="I27" i="17"/>
  <c r="J27" i="17" s="1"/>
  <c r="I25" i="15"/>
  <c r="J25" i="15" s="1"/>
  <c r="L25" i="15" s="1"/>
  <c r="Q25" i="15" s="1"/>
  <c r="S25" i="15" s="1"/>
  <c r="P27" i="15"/>
  <c r="P37" i="15"/>
  <c r="P35" i="15"/>
  <c r="P33" i="15"/>
  <c r="P31" i="15"/>
  <c r="P29" i="15"/>
  <c r="P25" i="15"/>
  <c r="P23" i="15"/>
  <c r="P21" i="15"/>
  <c r="P19" i="15"/>
  <c r="P17" i="15"/>
  <c r="P13" i="15"/>
  <c r="P15" i="15"/>
  <c r="P39" i="1"/>
  <c r="P37" i="1"/>
  <c r="P35" i="1"/>
  <c r="P33" i="1"/>
  <c r="P31" i="1"/>
  <c r="P29" i="1"/>
  <c r="P27" i="1"/>
  <c r="P25" i="1"/>
  <c r="P23" i="1"/>
  <c r="P21" i="1"/>
  <c r="P19" i="1"/>
  <c r="P17" i="1"/>
  <c r="I23" i="1"/>
  <c r="J23" i="1" s="1"/>
  <c r="L23" i="1" s="1"/>
  <c r="Q23" i="1" s="1"/>
  <c r="S23" i="1" s="1"/>
  <c r="I37" i="1"/>
  <c r="J37" i="1" s="1"/>
  <c r="L37" i="1" s="1"/>
  <c r="Q37" i="1" s="1"/>
  <c r="S37" i="1" s="1"/>
  <c r="I39" i="1"/>
  <c r="J39" i="1" s="1"/>
  <c r="L39" i="1" s="1"/>
  <c r="R39" i="1" s="1"/>
  <c r="S39" i="1" s="1"/>
  <c r="P37" i="4"/>
  <c r="P35" i="4"/>
  <c r="P33" i="4"/>
  <c r="P31" i="4"/>
  <c r="P29" i="4"/>
  <c r="P27" i="4"/>
  <c r="P25" i="4"/>
  <c r="P23" i="4"/>
  <c r="P21" i="4"/>
  <c r="P19" i="4"/>
  <c r="P17" i="4"/>
  <c r="P15" i="4"/>
  <c r="I23" i="4"/>
  <c r="J23" i="4" s="1"/>
  <c r="I25" i="4"/>
  <c r="J25" i="4" s="1"/>
  <c r="L25" i="4" s="1"/>
  <c r="Q25" i="4" s="1"/>
  <c r="S25" i="4" s="1"/>
  <c r="I27" i="4"/>
  <c r="J27" i="4" s="1"/>
  <c r="I29" i="4"/>
  <c r="J29" i="4" s="1"/>
  <c r="L29" i="4" s="1"/>
  <c r="Q29" i="4" s="1"/>
  <c r="S29" i="4" s="1"/>
  <c r="J31" i="4"/>
  <c r="I33" i="4"/>
  <c r="J33" i="4" s="1"/>
  <c r="P22" i="18"/>
  <c r="I22" i="18"/>
  <c r="J22" i="18" s="1"/>
  <c r="L22" i="18" s="1"/>
  <c r="P21" i="18"/>
  <c r="I21" i="18"/>
  <c r="J21" i="18" s="1"/>
  <c r="L21" i="18" s="1"/>
  <c r="Q21" i="18" s="1"/>
  <c r="S21" i="18" s="1"/>
  <c r="P20" i="18"/>
  <c r="I20" i="18"/>
  <c r="P19" i="18"/>
  <c r="I19" i="18"/>
  <c r="P18" i="18"/>
  <c r="I18" i="18"/>
  <c r="P17" i="18"/>
  <c r="I17" i="18"/>
  <c r="P16" i="18"/>
  <c r="I16" i="18"/>
  <c r="J16" i="18" s="1"/>
  <c r="P15" i="18"/>
  <c r="P14" i="18"/>
  <c r="P13" i="18"/>
  <c r="P12" i="18"/>
  <c r="P11" i="18"/>
  <c r="P23" i="18" s="1"/>
  <c r="P22" i="16"/>
  <c r="I22" i="16"/>
  <c r="P21" i="16"/>
  <c r="I21" i="16"/>
  <c r="P20" i="16"/>
  <c r="I20" i="16"/>
  <c r="P19" i="16"/>
  <c r="I19" i="16"/>
  <c r="J19" i="16" s="1"/>
  <c r="P18" i="16"/>
  <c r="I18" i="16"/>
  <c r="P17" i="16"/>
  <c r="I17" i="16"/>
  <c r="J17" i="16" s="1"/>
  <c r="P16" i="16"/>
  <c r="I16" i="16"/>
  <c r="P15" i="16"/>
  <c r="I15" i="16"/>
  <c r="P14" i="16"/>
  <c r="P13" i="16"/>
  <c r="P12" i="16"/>
  <c r="P11" i="16"/>
  <c r="P22" i="14"/>
  <c r="I22" i="14"/>
  <c r="P21" i="14"/>
  <c r="P20" i="14"/>
  <c r="I20" i="14"/>
  <c r="J20" i="14" s="1"/>
  <c r="P19" i="14"/>
  <c r="I19" i="14"/>
  <c r="J19" i="14" s="1"/>
  <c r="R19" i="14" s="1"/>
  <c r="S19" i="14" s="1"/>
  <c r="P18" i="14"/>
  <c r="I18" i="14"/>
  <c r="P17" i="14"/>
  <c r="P16" i="14"/>
  <c r="I16" i="14"/>
  <c r="J16" i="14" s="1"/>
  <c r="P15" i="14"/>
  <c r="I15" i="14"/>
  <c r="R15" i="14" s="1"/>
  <c r="S15" i="14" s="1"/>
  <c r="P14" i="14"/>
  <c r="I14" i="14"/>
  <c r="P13" i="14"/>
  <c r="I13" i="14"/>
  <c r="P12" i="14"/>
  <c r="I12" i="14"/>
  <c r="P11" i="14"/>
  <c r="I11" i="14"/>
  <c r="P22" i="9"/>
  <c r="I22" i="9"/>
  <c r="J22" i="9" s="1"/>
  <c r="P21" i="9"/>
  <c r="I21" i="9"/>
  <c r="P20" i="9"/>
  <c r="I20" i="9"/>
  <c r="P19" i="9"/>
  <c r="I19" i="9"/>
  <c r="P18" i="9"/>
  <c r="I18" i="9"/>
  <c r="J18" i="9" s="1"/>
  <c r="P17" i="9"/>
  <c r="I17" i="9"/>
  <c r="P16" i="9"/>
  <c r="I16" i="9"/>
  <c r="J16" i="9" s="1"/>
  <c r="P15" i="9"/>
  <c r="P14" i="9"/>
  <c r="P13" i="9"/>
  <c r="I13" i="9"/>
  <c r="P12" i="9"/>
  <c r="P11" i="9"/>
  <c r="P23" i="9" s="1"/>
  <c r="P22" i="8"/>
  <c r="P21" i="8"/>
  <c r="P20" i="8"/>
  <c r="P19" i="8"/>
  <c r="I19" i="8"/>
  <c r="J19" i="8" s="1"/>
  <c r="P18" i="8"/>
  <c r="P17" i="8"/>
  <c r="P16" i="8"/>
  <c r="I16" i="8"/>
  <c r="P15" i="8"/>
  <c r="I15" i="8"/>
  <c r="P14" i="8"/>
  <c r="P13" i="8"/>
  <c r="I13" i="8"/>
  <c r="J13" i="8" s="1"/>
  <c r="L13" i="8" s="1"/>
  <c r="P12" i="8"/>
  <c r="P11" i="8"/>
  <c r="P22" i="6"/>
  <c r="P21" i="6"/>
  <c r="I21" i="6"/>
  <c r="J21" i="6" s="1"/>
  <c r="L21" i="6" s="1"/>
  <c r="Q21" i="6" s="1"/>
  <c r="S21" i="6" s="1"/>
  <c r="P20" i="6"/>
  <c r="I20" i="6"/>
  <c r="J20" i="6" s="1"/>
  <c r="L20" i="6" s="1"/>
  <c r="R20" i="6" s="1"/>
  <c r="S20" i="6" s="1"/>
  <c r="P19" i="6"/>
  <c r="P18" i="6"/>
  <c r="I18" i="6"/>
  <c r="J18" i="6" s="1"/>
  <c r="L18" i="6" s="1"/>
  <c r="Q18" i="6" s="1"/>
  <c r="S18" i="6" s="1"/>
  <c r="P17" i="6"/>
  <c r="P16" i="6"/>
  <c r="I16" i="6"/>
  <c r="J16" i="6" s="1"/>
  <c r="L16" i="6" s="1"/>
  <c r="R16" i="6" s="1"/>
  <c r="S16" i="6" s="1"/>
  <c r="P15" i="6"/>
  <c r="P14" i="6"/>
  <c r="I14" i="6"/>
  <c r="J14" i="6" s="1"/>
  <c r="L14" i="6" s="1"/>
  <c r="Q14" i="6" s="1"/>
  <c r="S14" i="6" s="1"/>
  <c r="P13" i="6"/>
  <c r="P12" i="6"/>
  <c r="I12" i="6"/>
  <c r="J12" i="6" s="1"/>
  <c r="L12" i="6" s="1"/>
  <c r="Q12" i="6" s="1"/>
  <c r="S12" i="6" s="1"/>
  <c r="P22" i="5"/>
  <c r="I22" i="5"/>
  <c r="J22" i="5" s="1"/>
  <c r="P21" i="5"/>
  <c r="I21" i="5"/>
  <c r="P20" i="5"/>
  <c r="I20" i="5"/>
  <c r="P19" i="5"/>
  <c r="I19" i="5"/>
  <c r="J19" i="5" s="1"/>
  <c r="P18" i="5"/>
  <c r="I18" i="5"/>
  <c r="P17" i="5"/>
  <c r="I17" i="5"/>
  <c r="P16" i="5"/>
  <c r="I16" i="5"/>
  <c r="P15" i="5"/>
  <c r="P14" i="5"/>
  <c r="P13" i="5"/>
  <c r="P12" i="5"/>
  <c r="P23" i="5" s="1"/>
  <c r="I11" i="5"/>
  <c r="J11" i="5" s="1"/>
  <c r="L11" i="5" s="1"/>
  <c r="P9" i="5"/>
  <c r="P22" i="3"/>
  <c r="P21" i="3"/>
  <c r="P20" i="3"/>
  <c r="P19" i="3"/>
  <c r="P18" i="3"/>
  <c r="P17" i="3"/>
  <c r="P16" i="3"/>
  <c r="P15" i="3"/>
  <c r="P14" i="3"/>
  <c r="P13" i="3"/>
  <c r="P12" i="3"/>
  <c r="P11" i="3"/>
  <c r="I22" i="3"/>
  <c r="I21" i="3"/>
  <c r="I20" i="3"/>
  <c r="I19" i="3"/>
  <c r="I18" i="3"/>
  <c r="I17" i="3"/>
  <c r="I16" i="3"/>
  <c r="I15" i="3" l="1"/>
  <c r="J15" i="3" s="1"/>
  <c r="J16" i="3" s="1"/>
  <c r="L16" i="3" s="1"/>
  <c r="Q16" i="3" s="1"/>
  <c r="S16" i="3" s="1"/>
  <c r="I12" i="3"/>
  <c r="J12" i="3" s="1"/>
  <c r="L12" i="3" s="1"/>
  <c r="I14" i="3"/>
  <c r="J14" i="3" s="1"/>
  <c r="I11" i="3"/>
  <c r="J11" i="3" s="1"/>
  <c r="L11" i="3" s="1"/>
  <c r="R11" i="3" s="1"/>
  <c r="I13" i="3"/>
  <c r="I11" i="18"/>
  <c r="J11" i="18" s="1"/>
  <c r="L11" i="18" s="1"/>
  <c r="J18" i="18"/>
  <c r="J19" i="18" s="1"/>
  <c r="J20" i="18" s="1"/>
  <c r="L20" i="18" s="1"/>
  <c r="Q20" i="18" s="1"/>
  <c r="S20" i="18" s="1"/>
  <c r="J17" i="18"/>
  <c r="S14" i="18"/>
  <c r="J29" i="17"/>
  <c r="L29" i="17" s="1"/>
  <c r="R29" i="17" s="1"/>
  <c r="S29" i="17" s="1"/>
  <c r="S23" i="17"/>
  <c r="J23" i="17"/>
  <c r="L23" i="17" s="1"/>
  <c r="R23" i="17" s="1"/>
  <c r="S19" i="16"/>
  <c r="L19" i="16"/>
  <c r="R19" i="16" s="1"/>
  <c r="P23" i="16"/>
  <c r="J18" i="16"/>
  <c r="L18" i="16" s="1"/>
  <c r="Q18" i="16" s="1"/>
  <c r="S18" i="16" s="1"/>
  <c r="J15" i="9"/>
  <c r="L15" i="9" s="1"/>
  <c r="R15" i="9" s="1"/>
  <c r="L16" i="9"/>
  <c r="R16" i="9" s="1"/>
  <c r="S16" i="9" s="1"/>
  <c r="L18" i="9"/>
  <c r="R18" i="9" s="1"/>
  <c r="S18" i="9" s="1"/>
  <c r="R13" i="8"/>
  <c r="S13" i="8" s="1"/>
  <c r="P23" i="8"/>
  <c r="I14" i="8"/>
  <c r="J14" i="8" s="1"/>
  <c r="L14" i="8" s="1"/>
  <c r="Q14" i="8" s="1"/>
  <c r="S14" i="8" s="1"/>
  <c r="Q11" i="6"/>
  <c r="P23" i="6"/>
  <c r="Q11" i="5"/>
  <c r="J13" i="5"/>
  <c r="L13" i="5" s="1"/>
  <c r="Q13" i="5" s="1"/>
  <c r="S13" i="5" s="1"/>
  <c r="P23" i="3"/>
  <c r="I19" i="1"/>
  <c r="J19" i="1" s="1"/>
  <c r="L19" i="1" s="1"/>
  <c r="Q19" i="1" s="1"/>
  <c r="S19" i="1" s="1"/>
  <c r="J27" i="1"/>
  <c r="L27" i="1" s="1"/>
  <c r="Q27" i="1" s="1"/>
  <c r="S27" i="1" s="1"/>
  <c r="I15" i="15"/>
  <c r="J15" i="15" s="1"/>
  <c r="J29" i="15"/>
  <c r="L29" i="15" s="1"/>
  <c r="R29" i="15" s="1"/>
  <c r="S29" i="15" s="1"/>
  <c r="R17" i="1"/>
  <c r="P39" i="4"/>
  <c r="P41" i="1"/>
  <c r="P39" i="17"/>
  <c r="P39" i="15"/>
  <c r="L15" i="15"/>
  <c r="L37" i="17"/>
  <c r="R37" i="17" s="1"/>
  <c r="S37" i="17" s="1"/>
  <c r="L37" i="15"/>
  <c r="Q37" i="15" s="1"/>
  <c r="S37" i="15" s="1"/>
  <c r="L35" i="15"/>
  <c r="R35" i="15" s="1"/>
  <c r="S35" i="15" s="1"/>
  <c r="L35" i="17"/>
  <c r="Q35" i="17" s="1"/>
  <c r="S35" i="17" s="1"/>
  <c r="L33" i="17"/>
  <c r="Q33" i="17" s="1"/>
  <c r="S33" i="17" s="1"/>
  <c r="L31" i="17"/>
  <c r="R31" i="17" s="1"/>
  <c r="S31" i="17" s="1"/>
  <c r="L19" i="5"/>
  <c r="Q19" i="5" s="1"/>
  <c r="S19" i="5" s="1"/>
  <c r="L19" i="14"/>
  <c r="L31" i="15"/>
  <c r="R31" i="15" s="1"/>
  <c r="S31" i="15" s="1"/>
  <c r="L18" i="18"/>
  <c r="L17" i="16"/>
  <c r="Q17" i="16" s="1"/>
  <c r="S17" i="16" s="1"/>
  <c r="S27" i="17"/>
  <c r="L27" i="17"/>
  <c r="R27" i="17" s="1"/>
  <c r="L27" i="15"/>
  <c r="L31" i="4"/>
  <c r="Q31" i="4" s="1"/>
  <c r="S31" i="4" s="1"/>
  <c r="L33" i="4"/>
  <c r="Q33" i="4" s="1"/>
  <c r="S33" i="4" s="1"/>
  <c r="L27" i="4"/>
  <c r="Q27" i="4" s="1"/>
  <c r="S27" i="4" s="1"/>
  <c r="L22" i="5"/>
  <c r="Q22" i="5" s="1"/>
  <c r="S22" i="5" s="1"/>
  <c r="L16" i="18"/>
  <c r="L23" i="4"/>
  <c r="Q23" i="4" s="1"/>
  <c r="S23" i="4" s="1"/>
  <c r="L23" i="15"/>
  <c r="R23" i="15" s="1"/>
  <c r="S23" i="15" s="1"/>
  <c r="L21" i="4"/>
  <c r="Q21" i="4" s="1"/>
  <c r="S21" i="4" s="1"/>
  <c r="L14" i="16"/>
  <c r="Q14" i="16" s="1"/>
  <c r="S14" i="16" s="1"/>
  <c r="I21" i="17"/>
  <c r="J21" i="17" s="1"/>
  <c r="I21" i="15"/>
  <c r="J21" i="15" s="1"/>
  <c r="S19" i="17"/>
  <c r="L21" i="14"/>
  <c r="L17" i="14"/>
  <c r="L16" i="14"/>
  <c r="L22" i="14"/>
  <c r="L20" i="14"/>
  <c r="L13" i="14"/>
  <c r="I19" i="15"/>
  <c r="J19" i="15" s="1"/>
  <c r="L19" i="15" s="1"/>
  <c r="R19" i="15" s="1"/>
  <c r="S19" i="15" s="1"/>
  <c r="I17" i="4"/>
  <c r="L19" i="4" s="1"/>
  <c r="Q19" i="4" s="1"/>
  <c r="S19" i="4" s="1"/>
  <c r="L12" i="16"/>
  <c r="Q12" i="16" s="1"/>
  <c r="S12" i="16" s="1"/>
  <c r="I17" i="17"/>
  <c r="J17" i="17" s="1"/>
  <c r="I15" i="4"/>
  <c r="J15" i="4" s="1"/>
  <c r="I15" i="17"/>
  <c r="J15" i="17" s="1"/>
  <c r="L15" i="17" s="1"/>
  <c r="J22" i="16"/>
  <c r="J12" i="18"/>
  <c r="L12" i="18" s="1"/>
  <c r="J11" i="16"/>
  <c r="L11" i="16" s="1"/>
  <c r="J21" i="16"/>
  <c r="J16" i="16"/>
  <c r="J17" i="6"/>
  <c r="L17" i="6" s="1"/>
  <c r="Q17" i="6" s="1"/>
  <c r="S17" i="6" s="1"/>
  <c r="J21" i="5"/>
  <c r="J20" i="16"/>
  <c r="J20" i="5"/>
  <c r="J19" i="6"/>
  <c r="L19" i="6" s="1"/>
  <c r="R19" i="6" s="1"/>
  <c r="J17" i="5"/>
  <c r="J18" i="5" s="1"/>
  <c r="L18" i="5" s="1"/>
  <c r="Q18" i="5" s="1"/>
  <c r="S18" i="5" s="1"/>
  <c r="J16" i="5"/>
  <c r="J15" i="16"/>
  <c r="J15" i="8"/>
  <c r="J16" i="8" s="1"/>
  <c r="L16" i="8" s="1"/>
  <c r="Q16" i="8" s="1"/>
  <c r="S16" i="8" s="1"/>
  <c r="J15" i="6"/>
  <c r="L15" i="6" s="1"/>
  <c r="Q15" i="6" s="1"/>
  <c r="S15" i="6" s="1"/>
  <c r="J14" i="5"/>
  <c r="J15" i="5" s="1"/>
  <c r="L15" i="5" s="1"/>
  <c r="Q15" i="5" s="1"/>
  <c r="S15" i="5" s="1"/>
  <c r="J12" i="5"/>
  <c r="L12" i="5" s="1"/>
  <c r="Q12" i="5" s="1"/>
  <c r="S12" i="5" s="1"/>
  <c r="J15" i="18"/>
  <c r="L15" i="18" s="1"/>
  <c r="R15" i="18" s="1"/>
  <c r="S15" i="18" s="1"/>
  <c r="S13" i="9"/>
  <c r="S15" i="9"/>
  <c r="J17" i="9"/>
  <c r="J19" i="9"/>
  <c r="J20" i="9" s="1"/>
  <c r="J21" i="9" s="1"/>
  <c r="J19" i="3"/>
  <c r="J17" i="3"/>
  <c r="J21" i="3"/>
  <c r="J18" i="3"/>
  <c r="J20" i="3"/>
  <c r="J22" i="3"/>
  <c r="Q15" i="13"/>
  <c r="S15" i="13" s="1"/>
  <c r="P10" i="13"/>
  <c r="P19" i="13"/>
  <c r="P18" i="13"/>
  <c r="P17" i="13"/>
  <c r="P16" i="13"/>
  <c r="P14" i="13"/>
  <c r="P15" i="13"/>
  <c r="S19" i="13"/>
  <c r="R14" i="13"/>
  <c r="S14" i="13" s="1"/>
  <c r="L14" i="13"/>
  <c r="I19" i="13"/>
  <c r="I18" i="13"/>
  <c r="J18" i="13" s="1"/>
  <c r="R18" i="13" s="1"/>
  <c r="I17" i="13"/>
  <c r="J17" i="13" s="1"/>
  <c r="I16" i="13"/>
  <c r="I14" i="13"/>
  <c r="I15" i="13"/>
  <c r="J16" i="13" l="1"/>
  <c r="L16" i="13" s="1"/>
  <c r="R11" i="18"/>
  <c r="J13" i="18"/>
  <c r="L13" i="18" s="1"/>
  <c r="R13" i="18" s="1"/>
  <c r="S13" i="18" s="1"/>
  <c r="R11" i="16"/>
  <c r="L17" i="9"/>
  <c r="R17" i="9" s="1"/>
  <c r="S17" i="9" s="1"/>
  <c r="L23" i="8"/>
  <c r="L24" i="8" s="1"/>
  <c r="S11" i="6"/>
  <c r="R23" i="6"/>
  <c r="L23" i="6"/>
  <c r="L24" i="6" s="1"/>
  <c r="S11" i="5"/>
  <c r="S11" i="3"/>
  <c r="J13" i="3"/>
  <c r="L13" i="3" s="1"/>
  <c r="J21" i="1"/>
  <c r="L21" i="1" s="1"/>
  <c r="Q21" i="1" s="1"/>
  <c r="S21" i="1" s="1"/>
  <c r="R15" i="17"/>
  <c r="L39" i="17"/>
  <c r="L40" i="17" s="1"/>
  <c r="R15" i="15"/>
  <c r="R15" i="4"/>
  <c r="L15" i="4"/>
  <c r="L39" i="4" s="1"/>
  <c r="L40" i="4" s="1"/>
  <c r="S17" i="1"/>
  <c r="R41" i="1"/>
  <c r="L22" i="16"/>
  <c r="R22" i="16" s="1"/>
  <c r="S22" i="16" s="1"/>
  <c r="L21" i="16"/>
  <c r="Q21" i="16" s="1"/>
  <c r="S21" i="16" s="1"/>
  <c r="L20" i="16"/>
  <c r="Q20" i="16" s="1"/>
  <c r="S20" i="16" s="1"/>
  <c r="L19" i="18"/>
  <c r="L17" i="18"/>
  <c r="L16" i="16"/>
  <c r="Q16" i="16" s="1"/>
  <c r="S16" i="16" s="1"/>
  <c r="L16" i="5"/>
  <c r="Q16" i="5" s="1"/>
  <c r="S16" i="5" s="1"/>
  <c r="L21" i="5"/>
  <c r="Q21" i="5" s="1"/>
  <c r="S21" i="5" s="1"/>
  <c r="L17" i="5"/>
  <c r="Q17" i="5" s="1"/>
  <c r="S17" i="5" s="1"/>
  <c r="L20" i="5"/>
  <c r="Q20" i="5" s="1"/>
  <c r="S20" i="5" s="1"/>
  <c r="L22" i="3"/>
  <c r="R22" i="3" s="1"/>
  <c r="S22" i="3" s="1"/>
  <c r="L17" i="3"/>
  <c r="Q17" i="3" s="1"/>
  <c r="S17" i="3" s="1"/>
  <c r="L20" i="3"/>
  <c r="R20" i="3" s="1"/>
  <c r="S20" i="3" s="1"/>
  <c r="L19" i="3"/>
  <c r="Q19" i="3" s="1"/>
  <c r="S19" i="3" s="1"/>
  <c r="L18" i="3"/>
  <c r="Q18" i="3" s="1"/>
  <c r="S18" i="3" s="1"/>
  <c r="L21" i="3"/>
  <c r="Q21" i="3" s="1"/>
  <c r="S21" i="3" s="1"/>
  <c r="L15" i="16"/>
  <c r="R15" i="16" s="1"/>
  <c r="S15" i="16" s="1"/>
  <c r="S19" i="6"/>
  <c r="S23" i="6" s="1"/>
  <c r="L15" i="3"/>
  <c r="L21" i="17"/>
  <c r="R21" i="17" s="1"/>
  <c r="S21" i="17" s="1"/>
  <c r="L14" i="5"/>
  <c r="Q14" i="5" s="1"/>
  <c r="S14" i="5" s="1"/>
  <c r="L14" i="3"/>
  <c r="Q14" i="3" s="1"/>
  <c r="S14" i="3" s="1"/>
  <c r="L21" i="15"/>
  <c r="R21" i="15" s="1"/>
  <c r="S21" i="15" s="1"/>
  <c r="L17" i="4"/>
  <c r="Q17" i="4" s="1"/>
  <c r="S17" i="4" s="1"/>
  <c r="L17" i="17"/>
  <c r="Q17" i="17" s="1"/>
  <c r="S17" i="17" s="1"/>
  <c r="L17" i="13"/>
  <c r="R17" i="13"/>
  <c r="S18" i="13"/>
  <c r="S17" i="13"/>
  <c r="Q16" i="13" l="1"/>
  <c r="S16" i="13" s="1"/>
  <c r="L23" i="18"/>
  <c r="L24" i="18" s="1"/>
  <c r="S11" i="18"/>
  <c r="S23" i="18" s="1"/>
  <c r="R23" i="18"/>
  <c r="L23" i="16"/>
  <c r="L24" i="16" s="1"/>
  <c r="S11" i="16"/>
  <c r="S23" i="16" s="1"/>
  <c r="R23" i="16"/>
  <c r="R23" i="5"/>
  <c r="L23" i="5"/>
  <c r="L24" i="5" s="1"/>
  <c r="S23" i="5"/>
  <c r="Q13" i="3"/>
  <c r="L23" i="3"/>
  <c r="L24" i="3" s="1"/>
  <c r="L41" i="1"/>
  <c r="L42" i="1" s="1"/>
  <c r="R39" i="15"/>
  <c r="S15" i="15"/>
  <c r="S39" i="15" s="1"/>
  <c r="L39" i="15"/>
  <c r="L40" i="15" s="1"/>
  <c r="S15" i="4"/>
  <c r="S39" i="4" s="1"/>
  <c r="R39" i="4"/>
  <c r="R39" i="17"/>
  <c r="S15" i="17"/>
  <c r="S39" i="17" s="1"/>
  <c r="S41" i="1"/>
  <c r="S9" i="18"/>
  <c r="S8" i="18"/>
  <c r="Q10" i="18"/>
  <c r="S10" i="18" s="1"/>
  <c r="S13" i="17"/>
  <c r="S11" i="17"/>
  <c r="S9" i="17"/>
  <c r="R10" i="16"/>
  <c r="S10" i="16" s="1"/>
  <c r="Q9" i="16"/>
  <c r="Q8" i="16"/>
  <c r="R11" i="15"/>
  <c r="Q9" i="15"/>
  <c r="Q10" i="14"/>
  <c r="S10" i="14" s="1"/>
  <c r="Q9" i="14"/>
  <c r="Q8" i="14"/>
  <c r="R8" i="12"/>
  <c r="R8" i="11"/>
  <c r="S8" i="11" s="1"/>
  <c r="Q9" i="9"/>
  <c r="Q10" i="9"/>
  <c r="Q8" i="9"/>
  <c r="Q10" i="8"/>
  <c r="S10" i="8" s="1"/>
  <c r="Q8" i="8"/>
  <c r="S8" i="8" s="1"/>
  <c r="Q9" i="7"/>
  <c r="Q8" i="7"/>
  <c r="R9" i="6"/>
  <c r="S9" i="6" s="1"/>
  <c r="Q8" i="6"/>
  <c r="Q10" i="5"/>
  <c r="Q9" i="5"/>
  <c r="Q8" i="5"/>
  <c r="Q11" i="4"/>
  <c r="Q9" i="4"/>
  <c r="Q9" i="3"/>
  <c r="Q8" i="3"/>
  <c r="R13" i="1"/>
  <c r="Q11" i="1"/>
  <c r="Q9" i="1"/>
  <c r="S13" i="3" l="1"/>
  <c r="S23" i="3" s="1"/>
  <c r="A2" i="19" s="1"/>
  <c r="R23" i="3"/>
  <c r="Q15" i="1"/>
  <c r="S13" i="1"/>
  <c r="R15" i="1"/>
  <c r="S11" i="15"/>
  <c r="S9" i="15"/>
  <c r="S9" i="14"/>
  <c r="S8" i="14"/>
  <c r="S8" i="12"/>
  <c r="P10" i="8"/>
  <c r="P10" i="9"/>
  <c r="P10" i="6"/>
  <c r="P13" i="4"/>
  <c r="P10" i="3"/>
  <c r="P13" i="1"/>
  <c r="M9" i="6"/>
  <c r="N9" i="6" s="1"/>
  <c r="M13" i="1"/>
  <c r="N13" i="1" s="1"/>
  <c r="M8" i="12"/>
  <c r="N8" i="12" s="1"/>
  <c r="H10" i="11"/>
  <c r="G10" i="11"/>
  <c r="P7" i="11"/>
  <c r="S7" i="10"/>
  <c r="S10" i="9"/>
  <c r="S9" i="9"/>
  <c r="S8" i="9"/>
  <c r="S9" i="7"/>
  <c r="S8" i="7"/>
  <c r="S10" i="6"/>
  <c r="S8" i="6"/>
  <c r="S11" i="4"/>
  <c r="S9" i="4"/>
  <c r="S9" i="3"/>
  <c r="S8" i="3"/>
  <c r="S11" i="1" l="1"/>
  <c r="S9" i="1"/>
  <c r="S15" i="1" l="1"/>
  <c r="H13" i="4" l="1"/>
  <c r="G13" i="4"/>
  <c r="F13" i="4"/>
  <c r="H10" i="16"/>
  <c r="G10" i="16"/>
  <c r="H13" i="17"/>
  <c r="G13" i="17"/>
  <c r="F13" i="17"/>
  <c r="H10" i="12"/>
  <c r="G10" i="12"/>
  <c r="H10" i="10"/>
  <c r="G10" i="10"/>
  <c r="H10" i="9"/>
  <c r="G10" i="9"/>
  <c r="H10" i="8"/>
  <c r="G10" i="8"/>
  <c r="F10" i="8"/>
  <c r="H13" i="1"/>
  <c r="G13" i="1"/>
  <c r="F13" i="1"/>
  <c r="H10" i="6"/>
  <c r="G10" i="6"/>
  <c r="H10" i="5"/>
  <c r="G10" i="5"/>
  <c r="H10" i="7"/>
  <c r="G10" i="7"/>
  <c r="F10" i="7"/>
  <c r="H10" i="18"/>
  <c r="G10" i="18"/>
  <c r="I10" i="18" s="1"/>
  <c r="J10" i="18" s="1"/>
  <c r="G10" i="14"/>
  <c r="H10" i="14"/>
  <c r="M11" i="15"/>
  <c r="N11" i="15" s="1"/>
  <c r="G10" i="13" l="1"/>
  <c r="H10" i="13"/>
  <c r="F10" i="13" l="1"/>
  <c r="H13" i="15"/>
  <c r="G13" i="15"/>
  <c r="F13" i="15"/>
  <c r="I10" i="3"/>
  <c r="L10" i="3" s="1"/>
  <c r="J10" i="3" l="1"/>
  <c r="R10" i="3" s="1"/>
  <c r="H9" i="18"/>
  <c r="G9" i="18"/>
  <c r="H11" i="17"/>
  <c r="G11" i="17"/>
  <c r="S8" i="16"/>
  <c r="S9" i="16"/>
  <c r="H9" i="16"/>
  <c r="G9" i="16"/>
  <c r="H11" i="15"/>
  <c r="G11" i="15"/>
  <c r="H9" i="14"/>
  <c r="G9" i="14"/>
  <c r="H9" i="13"/>
  <c r="G9" i="13"/>
  <c r="H9" i="12"/>
  <c r="G9" i="12"/>
  <c r="H9" i="11"/>
  <c r="G9" i="11"/>
  <c r="H9" i="10"/>
  <c r="G9" i="10"/>
  <c r="H9" i="9"/>
  <c r="G9" i="9"/>
  <c r="Q9" i="8"/>
  <c r="S9" i="8" s="1"/>
  <c r="G9" i="8"/>
  <c r="H9" i="8"/>
  <c r="H9" i="7"/>
  <c r="G9" i="7"/>
  <c r="M10" i="3" l="1"/>
  <c r="N10" i="3" s="1"/>
  <c r="S10" i="3"/>
  <c r="H9" i="6"/>
  <c r="G9" i="6"/>
  <c r="H9" i="5"/>
  <c r="G9" i="5"/>
  <c r="G11" i="4"/>
  <c r="H11" i="4"/>
  <c r="H9" i="3"/>
  <c r="G9" i="3"/>
  <c r="H8" i="3"/>
  <c r="H11" i="1"/>
  <c r="G11" i="1"/>
  <c r="G9" i="1"/>
  <c r="H9" i="1"/>
  <c r="I9" i="3" l="1"/>
  <c r="F11" i="17"/>
  <c r="F11" i="15"/>
  <c r="I11" i="15" s="1"/>
  <c r="F11" i="4"/>
  <c r="F11" i="1"/>
  <c r="H9" i="4" l="1"/>
  <c r="G9" i="4"/>
  <c r="H8" i="16"/>
  <c r="G8" i="16"/>
  <c r="H9" i="17"/>
  <c r="G9" i="17"/>
  <c r="H8" i="12"/>
  <c r="G8" i="12"/>
  <c r="H8" i="11"/>
  <c r="G8" i="11"/>
  <c r="H8" i="10"/>
  <c r="G8" i="10"/>
  <c r="H8" i="9"/>
  <c r="G8" i="9"/>
  <c r="H8" i="8"/>
  <c r="G8" i="8"/>
  <c r="H8" i="6"/>
  <c r="G8" i="6"/>
  <c r="H8" i="5"/>
  <c r="G8" i="5"/>
  <c r="G8" i="3"/>
  <c r="H8" i="7"/>
  <c r="G8" i="7"/>
  <c r="H8" i="18"/>
  <c r="G8" i="18"/>
  <c r="M9" i="18"/>
  <c r="N9" i="18" s="1"/>
  <c r="M10" i="18"/>
  <c r="N10" i="18" s="1"/>
  <c r="M8" i="18"/>
  <c r="N8" i="18" s="1"/>
  <c r="M8" i="14"/>
  <c r="N8" i="14" s="1"/>
  <c r="H8" i="14"/>
  <c r="G8" i="14"/>
  <c r="Q8" i="13"/>
  <c r="S8" i="13" s="1"/>
  <c r="H8" i="13"/>
  <c r="G8" i="13"/>
  <c r="I8" i="5" l="1"/>
  <c r="H9" i="15"/>
  <c r="G9" i="15"/>
  <c r="P10" i="18"/>
  <c r="P9" i="18"/>
  <c r="I9" i="18"/>
  <c r="P8" i="18"/>
  <c r="I8" i="18"/>
  <c r="P7" i="18"/>
  <c r="F9" i="17"/>
  <c r="I13" i="17"/>
  <c r="P11" i="17"/>
  <c r="I11" i="17"/>
  <c r="P9" i="17"/>
  <c r="I9" i="17"/>
  <c r="P7" i="17"/>
  <c r="P10" i="16"/>
  <c r="I10" i="16"/>
  <c r="P9" i="16"/>
  <c r="I9" i="16"/>
  <c r="P8" i="16"/>
  <c r="I8" i="16"/>
  <c r="J8" i="16" s="1"/>
  <c r="P7" i="16"/>
  <c r="F9" i="15"/>
  <c r="I13" i="15"/>
  <c r="P11" i="15"/>
  <c r="P9" i="15"/>
  <c r="P7" i="15"/>
  <c r="P10" i="14"/>
  <c r="I10" i="14"/>
  <c r="P9" i="14"/>
  <c r="I9" i="14"/>
  <c r="P8" i="14"/>
  <c r="I8" i="14"/>
  <c r="J8" i="14" s="1"/>
  <c r="P7" i="14"/>
  <c r="I10" i="13"/>
  <c r="P9" i="13"/>
  <c r="I9" i="13"/>
  <c r="P8" i="13"/>
  <c r="I8" i="13"/>
  <c r="P7" i="13"/>
  <c r="I9" i="5"/>
  <c r="S9" i="5" s="1"/>
  <c r="I10" i="5"/>
  <c r="S10" i="5" s="1"/>
  <c r="I9" i="6"/>
  <c r="I10" i="6"/>
  <c r="J10" i="6" s="1"/>
  <c r="I9" i="7"/>
  <c r="I10" i="7"/>
  <c r="J10" i="7" s="1"/>
  <c r="J9" i="8"/>
  <c r="I10" i="8"/>
  <c r="J10" i="8" s="1"/>
  <c r="I9" i="9"/>
  <c r="I10" i="9"/>
  <c r="I9" i="10"/>
  <c r="I10" i="10"/>
  <c r="J10" i="10" s="1"/>
  <c r="I9" i="11"/>
  <c r="J9" i="11" s="1"/>
  <c r="I10" i="11"/>
  <c r="I9" i="12"/>
  <c r="I10" i="12"/>
  <c r="P10" i="12"/>
  <c r="P9" i="12"/>
  <c r="P8" i="12"/>
  <c r="I8" i="12"/>
  <c r="P7" i="12"/>
  <c r="P10" i="11"/>
  <c r="P9" i="11"/>
  <c r="P8" i="11"/>
  <c r="I8" i="11"/>
  <c r="P10" i="10"/>
  <c r="P9" i="10"/>
  <c r="P8" i="10"/>
  <c r="I8" i="10"/>
  <c r="R8" i="10" s="1"/>
  <c r="S8" i="10" s="1"/>
  <c r="P7" i="10"/>
  <c r="P9" i="9"/>
  <c r="P8" i="9"/>
  <c r="I8" i="9"/>
  <c r="J8" i="9" s="1"/>
  <c r="P7" i="9"/>
  <c r="P8" i="8"/>
  <c r="P9" i="8"/>
  <c r="P7" i="8"/>
  <c r="P7" i="7"/>
  <c r="P10" i="7"/>
  <c r="P9" i="7"/>
  <c r="P8" i="7"/>
  <c r="I8" i="7"/>
  <c r="J8" i="7" s="1"/>
  <c r="J10" i="11" l="1"/>
  <c r="Q13" i="15"/>
  <c r="S13" i="15" s="1"/>
  <c r="J8" i="8"/>
  <c r="J9" i="9"/>
  <c r="J10" i="9" s="1"/>
  <c r="J9" i="14"/>
  <c r="J10" i="14" s="1"/>
  <c r="L10" i="13"/>
  <c r="Q10" i="13"/>
  <c r="R9" i="13"/>
  <c r="M9" i="13"/>
  <c r="N9" i="13" s="1"/>
  <c r="J8" i="18"/>
  <c r="I9" i="15"/>
  <c r="P9" i="6"/>
  <c r="P8" i="6"/>
  <c r="I8" i="6"/>
  <c r="J8" i="6" s="1"/>
  <c r="P7" i="6"/>
  <c r="S8" i="5"/>
  <c r="F9" i="4"/>
  <c r="I9" i="4" s="1"/>
  <c r="J9" i="4" s="1"/>
  <c r="I8" i="3"/>
  <c r="J8" i="3" s="1"/>
  <c r="F9" i="1"/>
  <c r="I9" i="1" s="1"/>
  <c r="J9" i="1" s="1"/>
  <c r="P8" i="5"/>
  <c r="P7" i="5"/>
  <c r="I13" i="4"/>
  <c r="Q13" i="4" s="1"/>
  <c r="S13" i="4" s="1"/>
  <c r="P11" i="4"/>
  <c r="I11" i="4"/>
  <c r="P9" i="4"/>
  <c r="P7" i="4"/>
  <c r="P11" i="1"/>
  <c r="P9" i="1"/>
  <c r="P7" i="1"/>
  <c r="P9" i="3"/>
  <c r="P8" i="3"/>
  <c r="P7" i="3"/>
  <c r="I13" i="1"/>
  <c r="I11" i="1"/>
  <c r="S9" i="13" l="1"/>
  <c r="R11" i="13"/>
  <c r="S10" i="13"/>
  <c r="Q11" i="13"/>
  <c r="M8" i="11"/>
  <c r="N8" i="11" s="1"/>
  <c r="J11" i="1"/>
  <c r="L13" i="1" s="1"/>
  <c r="S11" i="13" l="1"/>
  <c r="Q11" i="8"/>
  <c r="S11" i="8" s="1"/>
  <c r="Q19" i="8"/>
  <c r="S19" i="8" s="1"/>
  <c r="Q20" i="8"/>
  <c r="S20" i="8" s="1"/>
  <c r="Q21" i="8"/>
  <c r="S21" i="8" s="1"/>
  <c r="R23" i="8" l="1"/>
  <c r="S23" i="8"/>
  <c r="Q12" i="9"/>
  <c r="L23" i="9"/>
  <c r="L24" i="9" s="1"/>
  <c r="R23" i="9" l="1"/>
  <c r="S12" i="9"/>
  <c r="S23" i="9" s="1"/>
</calcChain>
</file>

<file path=xl/sharedStrings.xml><?xml version="1.0" encoding="utf-8"?>
<sst xmlns="http://schemas.openxmlformats.org/spreadsheetml/2006/main" count="1201" uniqueCount="91">
  <si>
    <t>Вид коммунального ресурса учитываемого  ОДПУ</t>
  </si>
  <si>
    <t>номер и дата счета РСО за отчетный период</t>
  </si>
  <si>
    <t>Объем ОДН КР ЭЭ на СОИ выставленного РСО в адрес УК</t>
  </si>
  <si>
    <t>Площадь жилых и не жилых помещений расположенных в МКД (кв/м)</t>
  </si>
  <si>
    <t xml:space="preserve">Отчетный месяц </t>
  </si>
  <si>
    <t xml:space="preserve"> ОДН КР ЭЭ на СОИ выставленного РСО в бухгалтерских документах  в адрес УК </t>
  </si>
  <si>
    <t>Разница между объемом потребления по ОДПУ и нормативом выставленного жителям МКД за отчетный период переходящего на следующий отчетный месяц</t>
  </si>
  <si>
    <t>Размер  ОДН КР ЭЭ на СОИ  выставленного в адрес жителей МКД по нормативу потребления (руб)</t>
  </si>
  <si>
    <t>Калининское шоссе, д. 14Б</t>
  </si>
  <si>
    <r>
      <t xml:space="preserve">Данные по ОДПУ за отчетный период </t>
    </r>
    <r>
      <rPr>
        <b/>
        <sz val="11"/>
        <color theme="1"/>
        <rFont val="Calibri"/>
        <family val="2"/>
        <charset val="204"/>
        <scheme val="minor"/>
      </rPr>
      <t>согласно журнала</t>
    </r>
    <r>
      <rPr>
        <sz val="11"/>
        <color theme="1"/>
        <rFont val="Calibri"/>
        <family val="2"/>
        <scheme val="minor"/>
      </rPr>
      <t xml:space="preserve"> УК  и переданные в адрес РСО для учета </t>
    </r>
    <r>
      <rPr>
        <sz val="11"/>
        <color rgb="FFFF0000"/>
        <rFont val="Calibri"/>
        <family val="2"/>
        <charset val="204"/>
        <scheme val="minor"/>
      </rPr>
      <t>(Общий объем потребления по ОДПУ)</t>
    </r>
  </si>
  <si>
    <r>
      <t>Объем потребленного ресурса за отчетный период</t>
    </r>
    <r>
      <rPr>
        <sz val="11"/>
        <color rgb="FFFF0000"/>
        <rFont val="Calibri"/>
        <family val="2"/>
        <charset val="204"/>
        <scheme val="minor"/>
      </rPr>
      <t xml:space="preserve">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</si>
  <si>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r>
      <t xml:space="preserve">Объем потребленного ресурса за отчетный период </t>
    </r>
    <r>
      <rPr>
        <sz val="11"/>
        <color rgb="FFFF0000"/>
        <rFont val="Calibri"/>
        <family val="2"/>
        <charset val="204"/>
        <scheme val="minor"/>
      </rPr>
      <t>не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</si>
  <si>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t>Объем ОДН КР на СОИ за минусом индивидуального потребления (расчетные на основании журнала и данных РСО ) 
ст.  6 - (7+8)</t>
  </si>
  <si>
    <t>Площадь ОИ для рачета ОДН</t>
  </si>
  <si>
    <t>Объем ОДН КР ЭЭ на СОИ  приходящегося на 1 кв.м. площади (кВт. час)</t>
  </si>
  <si>
    <t>Объем ОДН КР ЭЭ на СОИ  выставленного в адрес жителей МКД по нормативу потребления 
(кВт. час)</t>
  </si>
  <si>
    <t>Размер ОДН КР ЭЭ на СОИ  приходящегося на 1 кв.м. площади
 (руб/1 кв.м.)</t>
  </si>
  <si>
    <t>009112177453515</t>
  </si>
  <si>
    <t>009112177453522</t>
  </si>
  <si>
    <t>009112177453496</t>
  </si>
  <si>
    <t>009112177454174</t>
  </si>
  <si>
    <t>0091121781914</t>
  </si>
  <si>
    <t>Данные о Коллективном приборе учета установленном в МКД
 (серийный номер)</t>
  </si>
  <si>
    <t>ЭЭ</t>
  </si>
  <si>
    <t>Калининское шоссе, д. 14В</t>
  </si>
  <si>
    <t>Тариф с 01.07.2022</t>
  </si>
  <si>
    <t>Калининское шоссе, д. 16</t>
  </si>
  <si>
    <t>009112177453406</t>
  </si>
  <si>
    <t>Калининское шоссе, д. 16 Б</t>
  </si>
  <si>
    <t>Калининское шоссе, д. 16 Г</t>
  </si>
  <si>
    <t>009112177453477</t>
  </si>
  <si>
    <t>Калининское шоссе, д. 18 В</t>
  </si>
  <si>
    <t>009112177453631</t>
  </si>
  <si>
    <t>Калининское шоссе, д. 18 Г</t>
  </si>
  <si>
    <t>0088401721274</t>
  </si>
  <si>
    <t>Калининское шоссе, д. 31</t>
  </si>
  <si>
    <t>009112178191121</t>
  </si>
  <si>
    <t>Калининское шоссе, д. 33 А</t>
  </si>
  <si>
    <t>0088401721275</t>
  </si>
  <si>
    <t>Калининское шоссе, д. 33 Б</t>
  </si>
  <si>
    <t>009112177453640</t>
  </si>
  <si>
    <t>Калининское шоссе, д. 35</t>
  </si>
  <si>
    <t>ул. Красноармейская, д. 2</t>
  </si>
  <si>
    <t>009112178191182</t>
  </si>
  <si>
    <t>ул. Красноармейская, д. 3</t>
  </si>
  <si>
    <t>0088401721285</t>
  </si>
  <si>
    <t>Ленинградское шоссе, д. 20</t>
  </si>
  <si>
    <t>008840163301073</t>
  </si>
  <si>
    <t>008840162213350</t>
  </si>
  <si>
    <t>Лениградское шоссе, д. 42 В</t>
  </si>
  <si>
    <t>009112178191230</t>
  </si>
  <si>
    <t>Ленинградское шоссе, д. 42 Г</t>
  </si>
  <si>
    <t>009112178191507</t>
  </si>
  <si>
    <t>009112177453525</t>
  </si>
  <si>
    <t>ул. Мира, д. 4</t>
  </si>
  <si>
    <t>0091121774535886</t>
  </si>
  <si>
    <t>Размер ОДН КР ЭЭ на СОИ  приходящегося на 1 кв.м. площади
 (руб/1 кв.м.) на 1 кв.м. квартиры</t>
  </si>
  <si>
    <t>Объем ОДН КР ЭЭ на СОИ  приходящегося на 1 кв.м. площади (кВт. час) на 1 кв.м. квартры</t>
  </si>
  <si>
    <t>расчет по ОДПУ с 11.2022</t>
  </si>
  <si>
    <t>расчет по ОДПУ с 12.2022</t>
  </si>
  <si>
    <t>рачет по ОДПУ с 11.2022</t>
  </si>
  <si>
    <t>Приказ РЭК Тверской области № 564-нп от 29.12.2021</t>
  </si>
  <si>
    <t>Тариф с 01.12.2022</t>
  </si>
  <si>
    <t>Размер корректировки по ОДН КР ЭЭ на СОИ (руб.)</t>
  </si>
  <si>
    <t>№ 6970510631/018364 от 31.10.2022</t>
  </si>
  <si>
    <t>№ 6970510631/016220 от 30.09.2022</t>
  </si>
  <si>
    <t>№ 6970510631/020326 от 30.11.2022</t>
  </si>
  <si>
    <t>№ 6970510631/022341 от 31.12.2022</t>
  </si>
  <si>
    <t>Объем ЭЭ для расчета КР ОДН на СОИ</t>
  </si>
  <si>
    <t>по нормативу выставлено  больше чем по ОДПУ</t>
  </si>
  <si>
    <r>
      <rPr>
        <sz val="11"/>
        <color theme="1"/>
        <rFont val="Calibri"/>
        <family val="2"/>
        <scheme val="minor"/>
      </rPr>
      <t>по нормативу выставлено в адрес жителей меньше чем по ОДПУ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</si>
  <si>
    <r>
      <t xml:space="preserve">по нормативу выставлено в адрес жителей меньше чем по ОДПУ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</si>
  <si>
    <t>Приказ РЭК Тверской области № 490-нп от 28.11.2022</t>
  </si>
  <si>
    <t>Тариф с 01.01.2024</t>
  </si>
  <si>
    <t>Тариф с 01.07.2024</t>
  </si>
  <si>
    <t>Приказ № 544-нп от 19.12.2023</t>
  </si>
  <si>
    <t>Эти данные вносим из АПУ от Атома</t>
  </si>
  <si>
    <t>Обязательно сверяем с выставленным в счете</t>
  </si>
  <si>
    <t>Здесь делаем корректировку или в плюс или минус</t>
  </si>
  <si>
    <t>Сверяем тарифы в текущем году с приказами РЭК</t>
  </si>
  <si>
    <t>№ 6970510631/001413 от 31.01.2023</t>
  </si>
  <si>
    <t>№ 6970510631/005337 от 31.03.2023</t>
  </si>
  <si>
    <t>№ 6970510631/007360 от 30.04.2023</t>
  </si>
  <si>
    <t>№ 6970510631/008959 от 31.05.2023</t>
  </si>
  <si>
    <t>№ 6970510631/011280 от 30.06.2023</t>
  </si>
  <si>
    <t>№ 6970510631/013419 от 31.07.2023</t>
  </si>
  <si>
    <t>№ 6970510631/015351 от 31.08.2023</t>
  </si>
  <si>
    <t>№ 6970510631/017388 от 30.09.2023</t>
  </si>
  <si>
    <t>№ 6970510631/019388 от 31.10.2023</t>
  </si>
  <si>
    <t>№ 6970510631/021361 от 30.11.2023</t>
  </si>
  <si>
    <t>№ 6970510631/023311 от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</si>
</sst>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0" fillId="0" borderId="1" xfId="0" applyFont="1" applyFill="1" applyBorder="1"/>
    <xf numFmtId="2" fontId="10" fillId="0" borderId="1" xfId="0" applyNumberFormat="1" applyFont="1" applyFill="1" applyBorder="1"/>
    <xf numFmtId="0" fontId="0" fillId="0" borderId="0" xfId="0" applyFill="1"/>
    <xf numFmtId="164" fontId="0" fillId="0" borderId="0" xfId="0" applyNumberFormat="1"/>
    <xf numFmtId="164" fontId="1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17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0" fontId="0" fillId="0" borderId="0" xfId="0" applyAlignment="1"/>
    <xf numFmtId="4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4" fontId="0" fillId="0" borderId="0" xfId="0" applyNumberFormat="1" applyAlignment="1"/>
    <xf numFmtId="164" fontId="10" fillId="0" borderId="1" xfId="0" applyNumberFormat="1" applyFont="1" applyBorder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/>
    <xf numFmtId="0" fontId="0" fillId="0" borderId="2" xfId="0" applyFill="1" applyBorder="1" applyAlignment="1">
      <alignment horizontal="right" wrapText="1"/>
    </xf>
    <xf numFmtId="0" fontId="0" fillId="0" borderId="2" xfId="0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/>
    <xf numFmtId="2" fontId="0" fillId="0" borderId="1" xfId="0" applyNumberFormat="1" applyFill="1" applyBorder="1" applyAlignment="1"/>
    <xf numFmtId="4" fontId="0" fillId="0" borderId="1" xfId="0" applyNumberFormat="1" applyFill="1" applyBorder="1" applyAlignment="1"/>
    <xf numFmtId="4" fontId="10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10" fillId="0" borderId="1" xfId="0" applyFont="1" applyFill="1" applyBorder="1" applyAlignment="1"/>
    <xf numFmtId="4" fontId="10" fillId="0" borderId="1" xfId="0" applyNumberFormat="1" applyFont="1" applyFill="1" applyBorder="1" applyAlignment="1"/>
    <xf numFmtId="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right"/>
    </xf>
    <xf numFmtId="1" fontId="0" fillId="0" borderId="1" xfId="0" applyNumberFormat="1" applyFill="1" applyBorder="1" applyAlignment="1"/>
    <xf numFmtId="165" fontId="0" fillId="0" borderId="2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/>
    <xf numFmtId="166" fontId="0" fillId="0" borderId="2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/>
    <xf numFmtId="165" fontId="10" fillId="0" borderId="2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/>
    <xf numFmtId="165" fontId="10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4" fontId="0" fillId="0" borderId="0" xfId="0" applyNumberFormat="1"/>
    <xf numFmtId="164" fontId="0" fillId="0" borderId="1" xfId="0" applyNumberFormat="1" applyBorder="1" applyAlignment="1">
      <alignment horizontal="right"/>
    </xf>
    <xf numFmtId="0" fontId="0" fillId="0" borderId="1" xfId="0" applyBorder="1"/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/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/>
    <xf numFmtId="3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/>
    <xf numFmtId="164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9" fillId="0" borderId="1" xfId="0" applyFont="1" applyBorder="1"/>
    <xf numFmtId="0" fontId="10" fillId="0" borderId="0" xfId="0" applyFont="1"/>
    <xf numFmtId="165" fontId="0" fillId="0" borderId="0" xfId="0" applyNumberFormat="1"/>
    <xf numFmtId="3" fontId="0" fillId="0" borderId="0" xfId="0" applyNumberFormat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/>
    <xf numFmtId="4" fontId="0" fillId="0" borderId="0" xfId="0" applyNumberFormat="1" applyFill="1" applyBorder="1" applyAlignment="1">
      <alignment horizontal="right" wrapText="1"/>
    </xf>
    <xf numFmtId="4" fontId="0" fillId="0" borderId="0" xfId="0" applyNumberFormat="1" applyFill="1"/>
    <xf numFmtId="0" fontId="15" fillId="0" borderId="6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9" fillId="0" borderId="1" xfId="0" applyFont="1" applyFill="1" applyBorder="1" applyAlignment="1">
      <alignment horizontal="right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3" fontId="0" fillId="3" borderId="2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14" fillId="2" borderId="0" xfId="0" applyFont="1" applyFill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0" fillId="3" borderId="2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right"/>
    </xf>
    <xf numFmtId="0" fontId="15" fillId="2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0" fillId="0" borderId="2" xfId="0" applyNumberFormat="1" applyFill="1" applyBorder="1" applyAlignment="1">
      <alignment horizontal="right"/>
    </xf>
    <xf numFmtId="166" fontId="0" fillId="0" borderId="3" xfId="0" applyNumberFormat="1" applyFill="1" applyBorder="1" applyAlignment="1">
      <alignment horizontal="right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70" zoomScaleNormal="70" workbookViewId="0">
      <selection activeCell="H54" sqref="H54"/>
    </sheetView>
  </sheetViews>
  <sheetFormatPr defaultRowHeight="15" x14ac:dyDescent="0.25"/>
  <cols>
    <col min="1" max="1" width="12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2.28515625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19" ht="20.100000000000001" customHeight="1" x14ac:dyDescent="0.25">
      <c r="A1" s="157" t="s">
        <v>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20.100000000000001" customHeight="1" x14ac:dyDescent="0.25">
      <c r="A2" s="134" t="s">
        <v>8</v>
      </c>
      <c r="B2" s="134"/>
      <c r="C2" s="134"/>
      <c r="D2" s="134"/>
      <c r="J2" s="129" t="s">
        <v>61</v>
      </c>
      <c r="K2" s="129"/>
      <c r="L2" s="129"/>
      <c r="M2" s="129"/>
      <c r="N2" s="129"/>
      <c r="O2" s="89" t="s">
        <v>25</v>
      </c>
      <c r="P2" s="90">
        <v>4.4000000000000004</v>
      </c>
      <c r="Q2" s="91" t="s">
        <v>73</v>
      </c>
      <c r="R2" s="91">
        <v>4.79</v>
      </c>
      <c r="S2" s="104" t="s">
        <v>75</v>
      </c>
    </row>
    <row r="3" spans="1:19" ht="20.100000000000001" customHeight="1" x14ac:dyDescent="0.25">
      <c r="J3" s="129" t="s">
        <v>61</v>
      </c>
      <c r="K3" s="129"/>
      <c r="L3" s="129"/>
      <c r="M3" s="129"/>
      <c r="N3" s="129"/>
      <c r="O3" s="89" t="s">
        <v>62</v>
      </c>
      <c r="P3" s="90">
        <v>4.79</v>
      </c>
      <c r="Q3" s="91" t="s">
        <v>74</v>
      </c>
      <c r="R3" s="91">
        <v>5.21</v>
      </c>
      <c r="S3" s="104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37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37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54" t="s">
        <v>69</v>
      </c>
      <c r="R5" s="54" t="s">
        <v>70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20.100000000000001" hidden="1" customHeight="1" x14ac:dyDescent="0.25">
      <c r="A7" s="23">
        <v>44805</v>
      </c>
      <c r="B7" s="121">
        <v>2772.9</v>
      </c>
      <c r="C7" s="121">
        <v>897.8</v>
      </c>
      <c r="D7" s="24" t="s">
        <v>17</v>
      </c>
      <c r="E7" s="121" t="s">
        <v>23</v>
      </c>
      <c r="F7" s="135"/>
      <c r="G7" s="135"/>
      <c r="H7" s="135"/>
      <c r="I7" s="135"/>
      <c r="J7" s="144"/>
      <c r="K7" s="111" t="s">
        <v>65</v>
      </c>
      <c r="L7" s="113">
        <v>709</v>
      </c>
      <c r="M7" s="159"/>
      <c r="N7" s="159"/>
      <c r="O7" s="117">
        <v>709.26199999999994</v>
      </c>
      <c r="P7" s="130">
        <f>O7*P2</f>
        <v>3120.7528000000002</v>
      </c>
      <c r="Q7" s="113">
        <v>0</v>
      </c>
      <c r="R7" s="113"/>
      <c r="S7" s="158">
        <v>0</v>
      </c>
    </row>
    <row r="8" spans="1:19" ht="20.100000000000001" hidden="1" customHeight="1" x14ac:dyDescent="0.25">
      <c r="A8" s="23">
        <v>44805</v>
      </c>
      <c r="B8" s="122"/>
      <c r="C8" s="122"/>
      <c r="D8" s="24" t="s">
        <v>27</v>
      </c>
      <c r="E8" s="122"/>
      <c r="F8" s="136"/>
      <c r="G8" s="136"/>
      <c r="H8" s="136"/>
      <c r="I8" s="136"/>
      <c r="J8" s="145"/>
      <c r="K8" s="112"/>
      <c r="L8" s="114"/>
      <c r="M8" s="160"/>
      <c r="N8" s="160"/>
      <c r="O8" s="118"/>
      <c r="P8" s="131"/>
      <c r="Q8" s="114"/>
      <c r="R8" s="114"/>
      <c r="S8" s="158"/>
    </row>
    <row r="9" spans="1:19" ht="20.100000000000001" hidden="1" customHeight="1" x14ac:dyDescent="0.25">
      <c r="A9" s="23">
        <v>44835</v>
      </c>
      <c r="B9" s="121">
        <v>2772.9</v>
      </c>
      <c r="C9" s="121">
        <v>897.8</v>
      </c>
      <c r="D9" s="24" t="s">
        <v>17</v>
      </c>
      <c r="E9" s="121" t="s">
        <v>23</v>
      </c>
      <c r="F9" s="135">
        <f>3834.12+91.56</f>
        <v>3925.68</v>
      </c>
      <c r="G9" s="135">
        <f>4810+54+17</f>
        <v>4881</v>
      </c>
      <c r="H9" s="135">
        <f>14+15</f>
        <v>29</v>
      </c>
      <c r="I9" s="135">
        <f>F9-(G9+H9)</f>
        <v>-984.32000000000016</v>
      </c>
      <c r="J9" s="144">
        <f>I9</f>
        <v>-984.32000000000016</v>
      </c>
      <c r="K9" s="111" t="s">
        <v>64</v>
      </c>
      <c r="L9" s="113">
        <v>0</v>
      </c>
      <c r="M9" s="115"/>
      <c r="N9" s="115"/>
      <c r="O9" s="117">
        <v>709.26199999999994</v>
      </c>
      <c r="P9" s="130">
        <f>O9*P2</f>
        <v>3120.7528000000002</v>
      </c>
      <c r="Q9" s="132">
        <f>O9</f>
        <v>709.26199999999994</v>
      </c>
      <c r="R9" s="113"/>
      <c r="S9" s="158">
        <f>-(Q9*P2)</f>
        <v>-3120.7528000000002</v>
      </c>
    </row>
    <row r="10" spans="1:19" ht="20.100000000000001" hidden="1" customHeight="1" x14ac:dyDescent="0.25">
      <c r="A10" s="23">
        <v>44835</v>
      </c>
      <c r="B10" s="122"/>
      <c r="C10" s="122"/>
      <c r="D10" s="24" t="s">
        <v>27</v>
      </c>
      <c r="E10" s="122"/>
      <c r="F10" s="136"/>
      <c r="G10" s="136"/>
      <c r="H10" s="136"/>
      <c r="I10" s="136"/>
      <c r="J10" s="145"/>
      <c r="K10" s="112"/>
      <c r="L10" s="114"/>
      <c r="M10" s="116"/>
      <c r="N10" s="116"/>
      <c r="O10" s="118"/>
      <c r="P10" s="131"/>
      <c r="Q10" s="133"/>
      <c r="R10" s="114"/>
      <c r="S10" s="158"/>
    </row>
    <row r="11" spans="1:19" ht="31.5" hidden="1" customHeight="1" x14ac:dyDescent="0.25">
      <c r="A11" s="23">
        <v>44866</v>
      </c>
      <c r="B11" s="121">
        <v>2772.9</v>
      </c>
      <c r="C11" s="121">
        <v>897.8</v>
      </c>
      <c r="D11" s="24" t="s">
        <v>17</v>
      </c>
      <c r="E11" s="121" t="s">
        <v>23</v>
      </c>
      <c r="F11" s="135">
        <f>5146.88+98.48</f>
        <v>5245.36</v>
      </c>
      <c r="G11" s="135">
        <f>4610+44+15</f>
        <v>4669</v>
      </c>
      <c r="H11" s="135">
        <f>14+15</f>
        <v>29</v>
      </c>
      <c r="I11" s="135">
        <f>F11-(G11+H11)</f>
        <v>547.35999999999967</v>
      </c>
      <c r="J11" s="144">
        <f>(I9)+I11</f>
        <v>-436.96000000000049</v>
      </c>
      <c r="K11" s="127" t="s">
        <v>66</v>
      </c>
      <c r="L11" s="119">
        <v>0</v>
      </c>
      <c r="M11" s="121"/>
      <c r="N11" s="121"/>
      <c r="O11" s="123">
        <v>709.26199999999994</v>
      </c>
      <c r="P11" s="125">
        <f>O11*P2</f>
        <v>3120.7528000000002</v>
      </c>
      <c r="Q11" s="109">
        <f>O11</f>
        <v>709.26199999999994</v>
      </c>
      <c r="R11" s="119"/>
      <c r="S11" s="158">
        <f>-(Q11*P2)</f>
        <v>-3120.7528000000002</v>
      </c>
    </row>
    <row r="12" spans="1:19" ht="31.5" hidden="1" customHeight="1" x14ac:dyDescent="0.25">
      <c r="A12" s="23">
        <v>44866</v>
      </c>
      <c r="B12" s="122"/>
      <c r="C12" s="122"/>
      <c r="D12" s="24" t="s">
        <v>27</v>
      </c>
      <c r="E12" s="122"/>
      <c r="F12" s="136"/>
      <c r="G12" s="136"/>
      <c r="H12" s="136"/>
      <c r="I12" s="136"/>
      <c r="J12" s="145"/>
      <c r="K12" s="128"/>
      <c r="L12" s="120"/>
      <c r="M12" s="122"/>
      <c r="N12" s="122"/>
      <c r="O12" s="124"/>
      <c r="P12" s="126"/>
      <c r="Q12" s="110"/>
      <c r="R12" s="120"/>
      <c r="S12" s="158"/>
    </row>
    <row r="13" spans="1:19" ht="31.5" hidden="1" customHeight="1" x14ac:dyDescent="0.25">
      <c r="A13" s="23">
        <v>44896</v>
      </c>
      <c r="B13" s="121">
        <v>2772.9</v>
      </c>
      <c r="C13" s="121">
        <v>897.8</v>
      </c>
      <c r="D13" s="24" t="s">
        <v>17</v>
      </c>
      <c r="E13" s="121" t="s">
        <v>23</v>
      </c>
      <c r="F13" s="135">
        <f>101+5006</f>
        <v>5107</v>
      </c>
      <c r="G13" s="135">
        <f>3931+93+34</f>
        <v>4058</v>
      </c>
      <c r="H13" s="135">
        <f>14+15</f>
        <v>29</v>
      </c>
      <c r="I13" s="135">
        <f>F13-(G13+H13)</f>
        <v>1020</v>
      </c>
      <c r="J13" s="144">
        <v>1020</v>
      </c>
      <c r="K13" s="127" t="s">
        <v>67</v>
      </c>
      <c r="L13" s="146">
        <f>I13+J11</f>
        <v>583.03999999999951</v>
      </c>
      <c r="M13" s="147">
        <f>R13/C13</f>
        <v>0.34611049231454677</v>
      </c>
      <c r="N13" s="147">
        <f>M13*P3</f>
        <v>1.657869258186679</v>
      </c>
      <c r="O13" s="123">
        <v>709.26199999999994</v>
      </c>
      <c r="P13" s="125">
        <f>O13*P3</f>
        <v>3397.3649799999998</v>
      </c>
      <c r="Q13" s="143"/>
      <c r="R13" s="109">
        <f>J13-O13</f>
        <v>310.73800000000006</v>
      </c>
      <c r="S13" s="158">
        <f>R13*P3</f>
        <v>1488.4350200000003</v>
      </c>
    </row>
    <row r="14" spans="1:19" ht="31.5" hidden="1" customHeight="1" x14ac:dyDescent="0.25">
      <c r="A14" s="23">
        <v>44896</v>
      </c>
      <c r="B14" s="122"/>
      <c r="C14" s="122"/>
      <c r="D14" s="24" t="s">
        <v>27</v>
      </c>
      <c r="E14" s="122"/>
      <c r="F14" s="136"/>
      <c r="G14" s="136"/>
      <c r="H14" s="136"/>
      <c r="I14" s="136"/>
      <c r="J14" s="145"/>
      <c r="K14" s="128"/>
      <c r="L14" s="120"/>
      <c r="M14" s="148"/>
      <c r="N14" s="148"/>
      <c r="O14" s="124"/>
      <c r="P14" s="126"/>
      <c r="Q14" s="120"/>
      <c r="R14" s="110"/>
      <c r="S14" s="158"/>
    </row>
    <row r="15" spans="1:19" ht="31.5" hidden="1" customHeight="1" x14ac:dyDescent="0.25">
      <c r="A15" s="1"/>
      <c r="B15" s="1"/>
      <c r="C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>
        <f>Q11+Q9</f>
        <v>1418.5239999999999</v>
      </c>
      <c r="R15" s="71">
        <f>R13</f>
        <v>310.73800000000006</v>
      </c>
      <c r="S15" s="19">
        <f>SUM(S7:S14)</f>
        <v>-4753.0705799999996</v>
      </c>
    </row>
    <row r="16" spans="1:19" ht="31.5" hidden="1" customHeight="1" x14ac:dyDescent="0.25">
      <c r="B16" s="1"/>
      <c r="C16" s="1"/>
      <c r="S16" s="18"/>
    </row>
    <row r="17" spans="1:19" ht="15.75" customHeight="1" x14ac:dyDescent="0.25">
      <c r="A17" s="75">
        <v>44927</v>
      </c>
      <c r="B17" s="153">
        <v>2772.9</v>
      </c>
      <c r="C17" s="153">
        <v>897.8</v>
      </c>
      <c r="D17" s="77" t="s">
        <v>17</v>
      </c>
      <c r="E17" s="153" t="s">
        <v>23</v>
      </c>
      <c r="F17" s="155">
        <f>5410.72+110.68</f>
        <v>5521.4000000000005</v>
      </c>
      <c r="G17" s="155">
        <f>4680+69+22</f>
        <v>4771</v>
      </c>
      <c r="H17" s="155">
        <f>14+15</f>
        <v>29</v>
      </c>
      <c r="I17" s="155">
        <f>F17-(G17+H17)</f>
        <v>721.40000000000055</v>
      </c>
      <c r="J17" s="155">
        <f>I17</f>
        <v>721.40000000000055</v>
      </c>
      <c r="K17" s="149" t="s">
        <v>80</v>
      </c>
      <c r="L17" s="151">
        <f>IF(J17&lt;0,0,I17)</f>
        <v>721.40000000000055</v>
      </c>
      <c r="M17" s="164"/>
      <c r="N17" s="164"/>
      <c r="O17" s="166">
        <v>709.26199999999994</v>
      </c>
      <c r="P17" s="168">
        <f>O17*P3</f>
        <v>3397.3649799999998</v>
      </c>
      <c r="Q17" s="170"/>
      <c r="R17" s="161">
        <f>L17-O17</f>
        <v>12.138000000000602</v>
      </c>
      <c r="S17" s="163">
        <f>R17*P3</f>
        <v>58.141020000002882</v>
      </c>
    </row>
    <row r="18" spans="1:19" ht="15.75" customHeight="1" x14ac:dyDescent="0.25">
      <c r="A18" s="75">
        <v>44927</v>
      </c>
      <c r="B18" s="154"/>
      <c r="C18" s="154"/>
      <c r="D18" s="77" t="s">
        <v>27</v>
      </c>
      <c r="E18" s="154"/>
      <c r="F18" s="156"/>
      <c r="G18" s="156"/>
      <c r="H18" s="156"/>
      <c r="I18" s="156"/>
      <c r="J18" s="156"/>
      <c r="K18" s="150"/>
      <c r="L18" s="152"/>
      <c r="M18" s="165"/>
      <c r="N18" s="165"/>
      <c r="O18" s="167"/>
      <c r="P18" s="169"/>
      <c r="Q18" s="152"/>
      <c r="R18" s="162"/>
      <c r="S18" s="163"/>
    </row>
    <row r="19" spans="1:19" ht="15.75" customHeight="1" x14ac:dyDescent="0.25">
      <c r="A19" s="75">
        <v>44958</v>
      </c>
      <c r="B19" s="153">
        <v>2772.9</v>
      </c>
      <c r="C19" s="153">
        <v>897.8</v>
      </c>
      <c r="D19" s="77" t="s">
        <v>17</v>
      </c>
      <c r="E19" s="153" t="s">
        <v>23</v>
      </c>
      <c r="F19" s="155">
        <f>3608.32+78</f>
        <v>3686.32</v>
      </c>
      <c r="G19" s="155">
        <f>4588+100+33</f>
        <v>4721</v>
      </c>
      <c r="H19" s="155">
        <f>14+15</f>
        <v>29</v>
      </c>
      <c r="I19" s="155">
        <f t="shared" ref="I19" si="0">F19-(G19+H19)</f>
        <v>-1063.6799999999998</v>
      </c>
      <c r="J19" s="155">
        <f t="shared" ref="J19" si="1">I19</f>
        <v>-1063.6799999999998</v>
      </c>
      <c r="K19" s="149"/>
      <c r="L19" s="151">
        <f t="shared" ref="L19" si="2">IF(J19&lt;0,0,I19)</f>
        <v>0</v>
      </c>
      <c r="M19" s="164"/>
      <c r="N19" s="164"/>
      <c r="O19" s="166">
        <v>709.26199999999994</v>
      </c>
      <c r="P19" s="168">
        <f>O19*P3</f>
        <v>3397.3649799999998</v>
      </c>
      <c r="Q19" s="170">
        <f>L19-O19</f>
        <v>-709.26199999999994</v>
      </c>
      <c r="R19" s="161"/>
      <c r="S19" s="163">
        <f>Q19*P3</f>
        <v>-3397.3649799999998</v>
      </c>
    </row>
    <row r="20" spans="1:19" ht="15.75" customHeight="1" x14ac:dyDescent="0.25">
      <c r="A20" s="75">
        <v>44958</v>
      </c>
      <c r="B20" s="154"/>
      <c r="C20" s="154"/>
      <c r="D20" s="77" t="s">
        <v>27</v>
      </c>
      <c r="E20" s="154"/>
      <c r="F20" s="156"/>
      <c r="G20" s="156"/>
      <c r="H20" s="156"/>
      <c r="I20" s="156"/>
      <c r="J20" s="156"/>
      <c r="K20" s="150"/>
      <c r="L20" s="152"/>
      <c r="M20" s="165"/>
      <c r="N20" s="165"/>
      <c r="O20" s="167"/>
      <c r="P20" s="169"/>
      <c r="Q20" s="152"/>
      <c r="R20" s="162"/>
      <c r="S20" s="163"/>
    </row>
    <row r="21" spans="1:19" ht="15.75" customHeight="1" x14ac:dyDescent="0.25">
      <c r="A21" s="75">
        <v>44986</v>
      </c>
      <c r="B21" s="153">
        <v>2772.9</v>
      </c>
      <c r="C21" s="153">
        <v>897.8</v>
      </c>
      <c r="D21" s="77" t="s">
        <v>17</v>
      </c>
      <c r="E21" s="153" t="s">
        <v>23</v>
      </c>
      <c r="F21" s="155">
        <f>5871.52+120.56</f>
        <v>5992.0800000000008</v>
      </c>
      <c r="G21" s="155">
        <f>4833+27+9</f>
        <v>4869</v>
      </c>
      <c r="H21" s="155">
        <f>14+15</f>
        <v>29</v>
      </c>
      <c r="I21" s="155">
        <f t="shared" ref="I21" si="3">F21-(G21+H21)</f>
        <v>1094.0800000000008</v>
      </c>
      <c r="J21" s="155">
        <f>I21+J19+1</f>
        <v>31.400000000001</v>
      </c>
      <c r="K21" s="149" t="s">
        <v>81</v>
      </c>
      <c r="L21" s="151">
        <f>J21</f>
        <v>31.400000000001</v>
      </c>
      <c r="M21" s="164"/>
      <c r="N21" s="164"/>
      <c r="O21" s="166">
        <v>709.26199999999994</v>
      </c>
      <c r="P21" s="168">
        <f>O21*P3</f>
        <v>3397.3649799999998</v>
      </c>
      <c r="Q21" s="170">
        <f>L21-O21</f>
        <v>-677.86199999999894</v>
      </c>
      <c r="R21" s="161"/>
      <c r="S21" s="163">
        <f>Q21*P3</f>
        <v>-3246.9589799999949</v>
      </c>
    </row>
    <row r="22" spans="1:19" ht="15.75" customHeight="1" x14ac:dyDescent="0.25">
      <c r="A22" s="75">
        <v>44986</v>
      </c>
      <c r="B22" s="154"/>
      <c r="C22" s="154"/>
      <c r="D22" s="77" t="s">
        <v>27</v>
      </c>
      <c r="E22" s="154"/>
      <c r="F22" s="156"/>
      <c r="G22" s="156"/>
      <c r="H22" s="156"/>
      <c r="I22" s="156"/>
      <c r="J22" s="156"/>
      <c r="K22" s="150"/>
      <c r="L22" s="152"/>
      <c r="M22" s="165"/>
      <c r="N22" s="165"/>
      <c r="O22" s="167"/>
      <c r="P22" s="169"/>
      <c r="Q22" s="152"/>
      <c r="R22" s="162"/>
      <c r="S22" s="163"/>
    </row>
    <row r="23" spans="1:19" ht="15.75" customHeight="1" x14ac:dyDescent="0.25">
      <c r="A23" s="75">
        <v>45017</v>
      </c>
      <c r="B23" s="153">
        <v>2772.9</v>
      </c>
      <c r="C23" s="153">
        <v>897.8</v>
      </c>
      <c r="D23" s="77" t="s">
        <v>17</v>
      </c>
      <c r="E23" s="153" t="s">
        <v>23</v>
      </c>
      <c r="F23" s="155">
        <f>4918.44+150.64</f>
        <v>5069.08</v>
      </c>
      <c r="G23" s="155">
        <f>4465+58+23</f>
        <v>4546</v>
      </c>
      <c r="H23" s="155">
        <f>14+15</f>
        <v>29</v>
      </c>
      <c r="I23" s="155">
        <f t="shared" ref="I23" si="4">F23-(G23+H23)</f>
        <v>494.07999999999993</v>
      </c>
      <c r="J23" s="155">
        <f t="shared" ref="J23" si="5">I23</f>
        <v>494.07999999999993</v>
      </c>
      <c r="K23" s="149" t="s">
        <v>82</v>
      </c>
      <c r="L23" s="151">
        <f t="shared" ref="L23" si="6">IF(J23&lt;0,0,I23)</f>
        <v>494.07999999999993</v>
      </c>
      <c r="M23" s="164"/>
      <c r="N23" s="164"/>
      <c r="O23" s="166">
        <v>709.26199999999994</v>
      </c>
      <c r="P23" s="168">
        <f>O23*P3</f>
        <v>3397.3649799999998</v>
      </c>
      <c r="Q23" s="170">
        <f>L23-O23</f>
        <v>-215.18200000000002</v>
      </c>
      <c r="R23" s="161"/>
      <c r="S23" s="163">
        <f>Q23*P3</f>
        <v>-1030.7217800000001</v>
      </c>
    </row>
    <row r="24" spans="1:19" ht="15.75" customHeight="1" x14ac:dyDescent="0.25">
      <c r="A24" s="75">
        <v>45017</v>
      </c>
      <c r="B24" s="154"/>
      <c r="C24" s="154"/>
      <c r="D24" s="77" t="s">
        <v>27</v>
      </c>
      <c r="E24" s="154"/>
      <c r="F24" s="156"/>
      <c r="G24" s="156"/>
      <c r="H24" s="156"/>
      <c r="I24" s="156"/>
      <c r="J24" s="156"/>
      <c r="K24" s="150"/>
      <c r="L24" s="152"/>
      <c r="M24" s="165"/>
      <c r="N24" s="165"/>
      <c r="O24" s="167"/>
      <c r="P24" s="169"/>
      <c r="Q24" s="152"/>
      <c r="R24" s="162"/>
      <c r="S24" s="163"/>
    </row>
    <row r="25" spans="1:19" ht="15.75" customHeight="1" x14ac:dyDescent="0.25">
      <c r="A25" s="75">
        <v>45047</v>
      </c>
      <c r="B25" s="153">
        <v>2772.9</v>
      </c>
      <c r="C25" s="153">
        <v>897.8</v>
      </c>
      <c r="D25" s="77" t="s">
        <v>17</v>
      </c>
      <c r="E25" s="153" t="s">
        <v>23</v>
      </c>
      <c r="F25" s="155">
        <f>5461.84+197.04</f>
        <v>5658.88</v>
      </c>
      <c r="G25" s="155">
        <f>6305+91+32</f>
        <v>6428</v>
      </c>
      <c r="H25" s="155">
        <f t="shared" ref="H25" si="7">14+15</f>
        <v>29</v>
      </c>
      <c r="I25" s="155">
        <f t="shared" ref="I25" si="8">F25-(G25+H25)</f>
        <v>-798.11999999999989</v>
      </c>
      <c r="J25" s="155">
        <f t="shared" ref="J25" si="9">I25</f>
        <v>-798.11999999999989</v>
      </c>
      <c r="K25" s="149" t="s">
        <v>83</v>
      </c>
      <c r="L25" s="151">
        <f t="shared" ref="L25" si="10">IF(J25&lt;0,0,I25)</f>
        <v>0</v>
      </c>
      <c r="M25" s="164"/>
      <c r="N25" s="164"/>
      <c r="O25" s="166">
        <v>709.26199999999994</v>
      </c>
      <c r="P25" s="168">
        <f>O25*P3</f>
        <v>3397.3649799999998</v>
      </c>
      <c r="Q25" s="170">
        <f>L25-O25</f>
        <v>-709.26199999999994</v>
      </c>
      <c r="R25" s="161"/>
      <c r="S25" s="163">
        <f>Q25*P3</f>
        <v>-3397.3649799999998</v>
      </c>
    </row>
    <row r="26" spans="1:19" ht="15.75" customHeight="1" x14ac:dyDescent="0.25">
      <c r="A26" s="75">
        <v>45047</v>
      </c>
      <c r="B26" s="154"/>
      <c r="C26" s="154"/>
      <c r="D26" s="77" t="s">
        <v>27</v>
      </c>
      <c r="E26" s="154"/>
      <c r="F26" s="156"/>
      <c r="G26" s="156"/>
      <c r="H26" s="156"/>
      <c r="I26" s="156"/>
      <c r="J26" s="156"/>
      <c r="K26" s="150"/>
      <c r="L26" s="152"/>
      <c r="M26" s="165"/>
      <c r="N26" s="165"/>
      <c r="O26" s="167"/>
      <c r="P26" s="169"/>
      <c r="Q26" s="152"/>
      <c r="R26" s="162"/>
      <c r="S26" s="163"/>
    </row>
    <row r="27" spans="1:19" ht="15.75" customHeight="1" x14ac:dyDescent="0.25">
      <c r="A27" s="75">
        <v>45078</v>
      </c>
      <c r="B27" s="153">
        <v>2772.9</v>
      </c>
      <c r="C27" s="153">
        <v>897.8</v>
      </c>
      <c r="D27" s="77" t="s">
        <v>17</v>
      </c>
      <c r="E27" s="153" t="s">
        <v>23</v>
      </c>
      <c r="F27" s="155">
        <f>4983.64+166.4</f>
        <v>5150.04</v>
      </c>
      <c r="G27" s="155">
        <f>3589+23+9</f>
        <v>3621</v>
      </c>
      <c r="H27" s="155">
        <f t="shared" ref="H27" si="11">14+15</f>
        <v>29</v>
      </c>
      <c r="I27" s="155">
        <f t="shared" ref="I27" si="12">F27-(G27+H27)</f>
        <v>1500.04</v>
      </c>
      <c r="J27" s="155">
        <f>I27+J25</f>
        <v>701.92000000000007</v>
      </c>
      <c r="K27" s="149" t="s">
        <v>84</v>
      </c>
      <c r="L27" s="151">
        <f>J27</f>
        <v>701.92000000000007</v>
      </c>
      <c r="M27" s="164"/>
      <c r="N27" s="164"/>
      <c r="O27" s="166">
        <v>709.26199999999994</v>
      </c>
      <c r="P27" s="168">
        <f>O27*P3</f>
        <v>3397.3649799999998</v>
      </c>
      <c r="Q27" s="170">
        <f>L27-O27</f>
        <v>-7.3419999999998709</v>
      </c>
      <c r="R27" s="161"/>
      <c r="S27" s="163">
        <f>Q27*P3</f>
        <v>-35.168179999999381</v>
      </c>
    </row>
    <row r="28" spans="1:19" ht="15.75" customHeight="1" x14ac:dyDescent="0.25">
      <c r="A28" s="75">
        <v>45078</v>
      </c>
      <c r="B28" s="154"/>
      <c r="C28" s="154"/>
      <c r="D28" s="77" t="s">
        <v>27</v>
      </c>
      <c r="E28" s="154"/>
      <c r="F28" s="156"/>
      <c r="G28" s="156"/>
      <c r="H28" s="156"/>
      <c r="I28" s="156"/>
      <c r="J28" s="156"/>
      <c r="K28" s="150"/>
      <c r="L28" s="152"/>
      <c r="M28" s="165"/>
      <c r="N28" s="165"/>
      <c r="O28" s="167"/>
      <c r="P28" s="169"/>
      <c r="Q28" s="152"/>
      <c r="R28" s="162"/>
      <c r="S28" s="163"/>
    </row>
    <row r="29" spans="1:19" ht="15.75" customHeight="1" x14ac:dyDescent="0.25">
      <c r="A29" s="75">
        <v>45108</v>
      </c>
      <c r="B29" s="153">
        <v>2772.9</v>
      </c>
      <c r="C29" s="153">
        <v>897.8</v>
      </c>
      <c r="D29" s="77" t="s">
        <v>17</v>
      </c>
      <c r="E29" s="153" t="s">
        <v>23</v>
      </c>
      <c r="F29" s="155">
        <f>4328.68+152.28</f>
        <v>4480.96</v>
      </c>
      <c r="G29" s="155">
        <f>3951+58+23</f>
        <v>4032</v>
      </c>
      <c r="H29" s="155">
        <f t="shared" ref="H29" si="13">14+15</f>
        <v>29</v>
      </c>
      <c r="I29" s="155">
        <f t="shared" ref="I29" si="14">F29-(G29+H29)</f>
        <v>419.96000000000004</v>
      </c>
      <c r="J29" s="155">
        <f t="shared" ref="J29" si="15">I29</f>
        <v>419.96000000000004</v>
      </c>
      <c r="K29" s="149" t="s">
        <v>85</v>
      </c>
      <c r="L29" s="151">
        <f t="shared" ref="L29" si="16">IF(J29&lt;0,0,I29)</f>
        <v>419.96000000000004</v>
      </c>
      <c r="M29" s="164"/>
      <c r="N29" s="164"/>
      <c r="O29" s="166">
        <v>709.26199999999994</v>
      </c>
      <c r="P29" s="168">
        <f>O29*P3</f>
        <v>3397.3649799999998</v>
      </c>
      <c r="Q29" s="170">
        <f>L29-O29</f>
        <v>-289.30199999999991</v>
      </c>
      <c r="R29" s="161"/>
      <c r="S29" s="163">
        <f>Q29*P3</f>
        <v>-1385.7565799999995</v>
      </c>
    </row>
    <row r="30" spans="1:19" ht="15.75" customHeight="1" x14ac:dyDescent="0.25">
      <c r="A30" s="75">
        <v>45108</v>
      </c>
      <c r="B30" s="154"/>
      <c r="C30" s="154"/>
      <c r="D30" s="77" t="s">
        <v>27</v>
      </c>
      <c r="E30" s="154"/>
      <c r="F30" s="156"/>
      <c r="G30" s="156"/>
      <c r="H30" s="156"/>
      <c r="I30" s="156"/>
      <c r="J30" s="156"/>
      <c r="K30" s="150"/>
      <c r="L30" s="152"/>
      <c r="M30" s="165"/>
      <c r="N30" s="165"/>
      <c r="O30" s="167"/>
      <c r="P30" s="169"/>
      <c r="Q30" s="152"/>
      <c r="R30" s="162"/>
      <c r="S30" s="163"/>
    </row>
    <row r="31" spans="1:19" ht="15.75" customHeight="1" x14ac:dyDescent="0.25">
      <c r="A31" s="75">
        <v>45139</v>
      </c>
      <c r="B31" s="153">
        <v>2772.9</v>
      </c>
      <c r="C31" s="153">
        <v>897.8</v>
      </c>
      <c r="D31" s="77" t="s">
        <v>17</v>
      </c>
      <c r="E31" s="153" t="s">
        <v>23</v>
      </c>
      <c r="F31" s="155">
        <f>5528.4+168.48</f>
        <v>5696.8799999999992</v>
      </c>
      <c r="G31" s="155">
        <f>4500+52+20</f>
        <v>4572</v>
      </c>
      <c r="H31" s="155">
        <f t="shared" ref="H31" si="17">14+15</f>
        <v>29</v>
      </c>
      <c r="I31" s="155">
        <f t="shared" ref="I31" si="18">F31-(G31+H31)</f>
        <v>1095.8799999999992</v>
      </c>
      <c r="J31" s="155">
        <f>I31-1</f>
        <v>1094.8799999999992</v>
      </c>
      <c r="K31" s="149" t="s">
        <v>86</v>
      </c>
      <c r="L31" s="151">
        <f>J31</f>
        <v>1094.8799999999992</v>
      </c>
      <c r="M31" s="164"/>
      <c r="N31" s="164"/>
      <c r="O31" s="166">
        <v>709.26199999999994</v>
      </c>
      <c r="P31" s="168">
        <f>O31*P3</f>
        <v>3397.3649799999998</v>
      </c>
      <c r="Q31" s="170"/>
      <c r="R31" s="161">
        <f>L31-O31</f>
        <v>385.61799999999926</v>
      </c>
      <c r="S31" s="163">
        <f>R31*P3</f>
        <v>1847.1102199999964</v>
      </c>
    </row>
    <row r="32" spans="1:19" ht="15.75" customHeight="1" x14ac:dyDescent="0.25">
      <c r="A32" s="75">
        <v>45139</v>
      </c>
      <c r="B32" s="154"/>
      <c r="C32" s="154"/>
      <c r="D32" s="77" t="s">
        <v>27</v>
      </c>
      <c r="E32" s="154"/>
      <c r="F32" s="156"/>
      <c r="G32" s="156"/>
      <c r="H32" s="156"/>
      <c r="I32" s="156"/>
      <c r="J32" s="156"/>
      <c r="K32" s="150"/>
      <c r="L32" s="152"/>
      <c r="M32" s="165"/>
      <c r="N32" s="165"/>
      <c r="O32" s="167"/>
      <c r="P32" s="169"/>
      <c r="Q32" s="152"/>
      <c r="R32" s="162"/>
      <c r="S32" s="163"/>
    </row>
    <row r="33" spans="1:19" ht="15.75" customHeight="1" x14ac:dyDescent="0.25">
      <c r="A33" s="75">
        <v>45170</v>
      </c>
      <c r="B33" s="153">
        <v>2772.9</v>
      </c>
      <c r="C33" s="153">
        <v>897.8</v>
      </c>
      <c r="D33" s="77" t="s">
        <v>17</v>
      </c>
      <c r="E33" s="153" t="s">
        <v>23</v>
      </c>
      <c r="F33" s="155">
        <f>5001.6+170.84</f>
        <v>5172.4400000000005</v>
      </c>
      <c r="G33" s="155">
        <f>4628+50+16</f>
        <v>4694</v>
      </c>
      <c r="H33" s="155">
        <f t="shared" ref="H33" si="19">14+15</f>
        <v>29</v>
      </c>
      <c r="I33" s="155">
        <f t="shared" ref="I33" si="20">F33-(G33+H33)</f>
        <v>449.44000000000051</v>
      </c>
      <c r="J33" s="155">
        <f>I33+1</f>
        <v>450.44000000000051</v>
      </c>
      <c r="K33" s="149" t="s">
        <v>87</v>
      </c>
      <c r="L33" s="151">
        <f>J33</f>
        <v>450.44000000000051</v>
      </c>
      <c r="M33" s="164"/>
      <c r="N33" s="164"/>
      <c r="O33" s="166">
        <v>709.26199999999994</v>
      </c>
      <c r="P33" s="168">
        <f>O33*P3</f>
        <v>3397.3649799999998</v>
      </c>
      <c r="Q33" s="170">
        <f>L33-O33</f>
        <v>-258.82199999999943</v>
      </c>
      <c r="R33" s="161"/>
      <c r="S33" s="163">
        <f>Q33*P3</f>
        <v>-1239.7573799999973</v>
      </c>
    </row>
    <row r="34" spans="1:19" ht="15.75" customHeight="1" x14ac:dyDescent="0.25">
      <c r="A34" s="75">
        <v>45170</v>
      </c>
      <c r="B34" s="154"/>
      <c r="C34" s="154"/>
      <c r="D34" s="77" t="s">
        <v>27</v>
      </c>
      <c r="E34" s="154"/>
      <c r="F34" s="156"/>
      <c r="G34" s="156"/>
      <c r="H34" s="156"/>
      <c r="I34" s="156"/>
      <c r="J34" s="156"/>
      <c r="K34" s="150"/>
      <c r="L34" s="152"/>
      <c r="M34" s="165"/>
      <c r="N34" s="165"/>
      <c r="O34" s="167"/>
      <c r="P34" s="169"/>
      <c r="Q34" s="152"/>
      <c r="R34" s="162"/>
      <c r="S34" s="163"/>
    </row>
    <row r="35" spans="1:19" ht="15.75" customHeight="1" x14ac:dyDescent="0.25">
      <c r="A35" s="75">
        <v>45200</v>
      </c>
      <c r="B35" s="153">
        <v>2772.9</v>
      </c>
      <c r="C35" s="153">
        <v>897.8</v>
      </c>
      <c r="D35" s="77" t="s">
        <v>17</v>
      </c>
      <c r="E35" s="153" t="s">
        <v>23</v>
      </c>
      <c r="F35" s="155">
        <f>5470.6+178.8</f>
        <v>5649.4000000000005</v>
      </c>
      <c r="G35" s="155">
        <f>4904+55+18</f>
        <v>4977</v>
      </c>
      <c r="H35" s="155">
        <f t="shared" ref="H35" si="21">14+15</f>
        <v>29</v>
      </c>
      <c r="I35" s="155">
        <f t="shared" ref="I35" si="22">F35-(G35+H35)</f>
        <v>643.40000000000055</v>
      </c>
      <c r="J35" s="155">
        <f>I35+1</f>
        <v>644.40000000000055</v>
      </c>
      <c r="K35" s="149" t="s">
        <v>88</v>
      </c>
      <c r="L35" s="151">
        <f>J35</f>
        <v>644.40000000000055</v>
      </c>
      <c r="M35" s="164"/>
      <c r="N35" s="164"/>
      <c r="O35" s="166">
        <v>709.26199999999994</v>
      </c>
      <c r="P35" s="168">
        <f>O35*P3</f>
        <v>3397.3649799999998</v>
      </c>
      <c r="Q35" s="170">
        <f>L35-O35</f>
        <v>-64.861999999999398</v>
      </c>
      <c r="R35" s="161"/>
      <c r="S35" s="163">
        <f>Q35*P3</f>
        <v>-310.68897999999712</v>
      </c>
    </row>
    <row r="36" spans="1:19" ht="15.75" customHeight="1" x14ac:dyDescent="0.25">
      <c r="A36" s="75">
        <v>45200</v>
      </c>
      <c r="B36" s="154"/>
      <c r="C36" s="154"/>
      <c r="D36" s="77" t="s">
        <v>27</v>
      </c>
      <c r="E36" s="154"/>
      <c r="F36" s="156"/>
      <c r="G36" s="156"/>
      <c r="H36" s="156"/>
      <c r="I36" s="156"/>
      <c r="J36" s="156"/>
      <c r="K36" s="150"/>
      <c r="L36" s="152"/>
      <c r="M36" s="165"/>
      <c r="N36" s="165"/>
      <c r="O36" s="167"/>
      <c r="P36" s="169"/>
      <c r="Q36" s="152"/>
      <c r="R36" s="162"/>
      <c r="S36" s="163"/>
    </row>
    <row r="37" spans="1:19" ht="15.75" customHeight="1" x14ac:dyDescent="0.25">
      <c r="A37" s="75">
        <v>45231</v>
      </c>
      <c r="B37" s="153">
        <v>2772.9</v>
      </c>
      <c r="C37" s="153">
        <v>897.8</v>
      </c>
      <c r="D37" s="77" t="s">
        <v>17</v>
      </c>
      <c r="E37" s="153" t="s">
        <v>23</v>
      </c>
      <c r="F37" s="155">
        <f>5471.56+163.64</f>
        <v>5635.2000000000007</v>
      </c>
      <c r="G37" s="155">
        <f>5037+65+24</f>
        <v>5126</v>
      </c>
      <c r="H37" s="155">
        <f t="shared" ref="H37" si="23">14+15</f>
        <v>29</v>
      </c>
      <c r="I37" s="155">
        <f t="shared" ref="I37" si="24">F37-(G37+H37)</f>
        <v>480.20000000000073</v>
      </c>
      <c r="J37" s="155">
        <f>I37+1</f>
        <v>481.20000000000073</v>
      </c>
      <c r="K37" s="149" t="s">
        <v>89</v>
      </c>
      <c r="L37" s="151">
        <f>J37</f>
        <v>481.20000000000073</v>
      </c>
      <c r="M37" s="164"/>
      <c r="N37" s="164"/>
      <c r="O37" s="166">
        <v>709.26199999999994</v>
      </c>
      <c r="P37" s="168">
        <f>O37*P3</f>
        <v>3397.3649799999998</v>
      </c>
      <c r="Q37" s="170">
        <f>L37-O37</f>
        <v>-228.06199999999922</v>
      </c>
      <c r="R37" s="161"/>
      <c r="S37" s="163">
        <f>Q37*P3</f>
        <v>-1092.4169799999963</v>
      </c>
    </row>
    <row r="38" spans="1:19" ht="15.75" customHeight="1" x14ac:dyDescent="0.25">
      <c r="A38" s="75">
        <v>45231</v>
      </c>
      <c r="B38" s="154"/>
      <c r="C38" s="154"/>
      <c r="D38" s="77" t="s">
        <v>27</v>
      </c>
      <c r="E38" s="154"/>
      <c r="F38" s="156"/>
      <c r="G38" s="156"/>
      <c r="H38" s="156"/>
      <c r="I38" s="156"/>
      <c r="J38" s="156"/>
      <c r="K38" s="150"/>
      <c r="L38" s="152"/>
      <c r="M38" s="165"/>
      <c r="N38" s="165"/>
      <c r="O38" s="167"/>
      <c r="P38" s="169"/>
      <c r="Q38" s="152"/>
      <c r="R38" s="162"/>
      <c r="S38" s="163"/>
    </row>
    <row r="39" spans="1:19" ht="15.75" customHeight="1" x14ac:dyDescent="0.25">
      <c r="A39" s="75">
        <v>45261</v>
      </c>
      <c r="B39" s="153">
        <v>2772.9</v>
      </c>
      <c r="C39" s="153">
        <v>897.8</v>
      </c>
      <c r="D39" s="77" t="s">
        <v>17</v>
      </c>
      <c r="E39" s="153" t="s">
        <v>23</v>
      </c>
      <c r="F39" s="155">
        <f>5932.8+150.84</f>
        <v>6083.64</v>
      </c>
      <c r="G39" s="155">
        <f>5347+62+21</f>
        <v>5430</v>
      </c>
      <c r="H39" s="155">
        <f t="shared" ref="H39" si="25">14+15</f>
        <v>29</v>
      </c>
      <c r="I39" s="155">
        <f t="shared" ref="I39" si="26">F39-(G39+H39)</f>
        <v>624.64000000000033</v>
      </c>
      <c r="J39" s="155">
        <f t="shared" ref="J39" si="27">I39</f>
        <v>624.64000000000033</v>
      </c>
      <c r="K39" s="149" t="s">
        <v>90</v>
      </c>
      <c r="L39" s="151">
        <f t="shared" ref="L39" si="28">IF(J39&lt;0,0,I39)</f>
        <v>624.64000000000033</v>
      </c>
      <c r="M39" s="164"/>
      <c r="N39" s="164"/>
      <c r="O39" s="166">
        <v>709.26199999999994</v>
      </c>
      <c r="P39" s="168">
        <f>O39*P3</f>
        <v>3397.3649799999998</v>
      </c>
      <c r="Q39" s="170"/>
      <c r="R39" s="161">
        <f>L39-O39</f>
        <v>-84.621999999999616</v>
      </c>
      <c r="S39" s="163">
        <f>R39*P3</f>
        <v>-405.33937999999819</v>
      </c>
    </row>
    <row r="40" spans="1:19" ht="15.75" customHeight="1" x14ac:dyDescent="0.25">
      <c r="A40" s="75">
        <v>45261</v>
      </c>
      <c r="B40" s="154"/>
      <c r="C40" s="154"/>
      <c r="D40" s="77" t="s">
        <v>27</v>
      </c>
      <c r="E40" s="154"/>
      <c r="F40" s="156"/>
      <c r="G40" s="156"/>
      <c r="H40" s="156"/>
      <c r="I40" s="156"/>
      <c r="J40" s="156"/>
      <c r="K40" s="150"/>
      <c r="L40" s="152"/>
      <c r="M40" s="165"/>
      <c r="N40" s="165"/>
      <c r="O40" s="167"/>
      <c r="P40" s="169"/>
      <c r="Q40" s="152"/>
      <c r="R40" s="162"/>
      <c r="S40" s="163"/>
    </row>
    <row r="41" spans="1:19" s="101" customFormat="1" ht="20.100000000000001" customHeight="1" x14ac:dyDescent="0.25">
      <c r="A41" s="98"/>
      <c r="B41" s="98"/>
      <c r="C41" s="98"/>
      <c r="D41" s="99"/>
      <c r="E41" s="98"/>
      <c r="G41" s="102"/>
      <c r="H41" s="102"/>
      <c r="I41" s="98"/>
      <c r="J41" s="98"/>
      <c r="K41" s="100"/>
      <c r="L41" s="95">
        <f>SUM(L17:L40)</f>
        <v>5664.3200000000024</v>
      </c>
      <c r="M41" s="98"/>
      <c r="N41" s="98"/>
      <c r="O41" s="95">
        <f>SUM(O17:O40)</f>
        <v>8511.1439999999984</v>
      </c>
      <c r="P41" s="95">
        <f>SUM(P17:P40)</f>
        <v>40768.379759999989</v>
      </c>
      <c r="Q41" s="95"/>
      <c r="R41" s="95">
        <f>SUM(Q17:R40)</f>
        <v>-2846.8239999999951</v>
      </c>
      <c r="S41" s="95">
        <f>SUM(S17:S40)</f>
        <v>-13636.286959999981</v>
      </c>
    </row>
    <row r="42" spans="1:19" s="101" customFormat="1" ht="20.100000000000001" customHeight="1" x14ac:dyDescent="0.25">
      <c r="A42" s="98"/>
      <c r="B42" s="98"/>
      <c r="C42" s="98"/>
      <c r="D42" s="99"/>
      <c r="E42" s="98"/>
      <c r="F42" s="103"/>
      <c r="G42" s="103"/>
      <c r="H42" s="103"/>
      <c r="I42" s="98"/>
      <c r="J42" s="98"/>
      <c r="K42" s="100"/>
      <c r="L42" s="95">
        <f>L41*P3</f>
        <v>27132.092800000013</v>
      </c>
      <c r="M42" s="98"/>
      <c r="N42" s="98"/>
      <c r="O42" s="98"/>
      <c r="P42" s="98"/>
      <c r="Q42" s="95"/>
      <c r="R42" s="95"/>
      <c r="S42" s="95"/>
    </row>
    <row r="43" spans="1:19" ht="15" customHeight="1" x14ac:dyDescent="0.25">
      <c r="F43" s="171" t="s">
        <v>76</v>
      </c>
      <c r="G43" s="171"/>
      <c r="H43" s="171"/>
      <c r="I43" s="92"/>
      <c r="J43" s="92"/>
      <c r="K43" s="92"/>
      <c r="L43" s="105" t="s">
        <v>77</v>
      </c>
      <c r="M43" s="92"/>
      <c r="N43" s="92"/>
      <c r="O43" s="92"/>
      <c r="P43" s="92"/>
      <c r="Q43" s="107" t="s">
        <v>78</v>
      </c>
      <c r="R43" s="107"/>
      <c r="S43" s="107"/>
    </row>
    <row r="44" spans="1:19" ht="15" customHeight="1" x14ac:dyDescent="0.25">
      <c r="F44" s="171"/>
      <c r="G44" s="171"/>
      <c r="H44" s="171"/>
      <c r="I44" s="92"/>
      <c r="J44" s="92"/>
      <c r="K44" s="92"/>
      <c r="L44" s="106"/>
      <c r="M44" s="92"/>
      <c r="N44" s="92"/>
      <c r="O44" s="92"/>
      <c r="P44" s="92"/>
      <c r="Q44" s="108"/>
      <c r="R44" s="108"/>
      <c r="S44" s="108"/>
    </row>
    <row r="45" spans="1:19" ht="15" customHeight="1" x14ac:dyDescent="0.25">
      <c r="F45" s="171"/>
      <c r="G45" s="171"/>
      <c r="H45" s="171"/>
      <c r="I45" s="92"/>
      <c r="J45" s="92"/>
      <c r="K45" s="92"/>
      <c r="L45" s="106"/>
      <c r="M45" s="92"/>
      <c r="N45" s="92"/>
      <c r="O45" s="92"/>
      <c r="P45" s="92"/>
      <c r="Q45" s="108"/>
      <c r="R45" s="108"/>
      <c r="S45" s="108"/>
    </row>
    <row r="46" spans="1:19" ht="15" customHeight="1" x14ac:dyDescent="0.25">
      <c r="F46" s="171"/>
      <c r="G46" s="171"/>
      <c r="H46" s="171"/>
      <c r="I46" s="92"/>
      <c r="J46" s="92"/>
      <c r="K46" s="92"/>
      <c r="L46" s="106"/>
      <c r="M46" s="92"/>
      <c r="N46" s="92"/>
      <c r="O46" s="92"/>
      <c r="P46" s="92"/>
      <c r="Q46" s="108"/>
      <c r="R46" s="108"/>
      <c r="S46" s="108"/>
    </row>
    <row r="47" spans="1:19" ht="15" customHeight="1" x14ac:dyDescent="0.25">
      <c r="F47" s="171"/>
      <c r="G47" s="171"/>
      <c r="H47" s="171"/>
      <c r="I47" s="92"/>
      <c r="J47" s="92"/>
      <c r="K47" s="92"/>
      <c r="L47" s="106"/>
      <c r="M47" s="92"/>
      <c r="N47" s="92"/>
      <c r="O47" s="92"/>
      <c r="P47" s="92"/>
      <c r="Q47" s="108"/>
      <c r="R47" s="108"/>
      <c r="S47" s="108"/>
    </row>
    <row r="48" spans="1:19" ht="15" customHeight="1" x14ac:dyDescent="0.25">
      <c r="F48" s="171"/>
      <c r="G48" s="171"/>
      <c r="H48" s="171"/>
      <c r="I48" s="92"/>
      <c r="J48" s="92"/>
      <c r="K48" s="92"/>
      <c r="L48" s="106"/>
      <c r="M48" s="92"/>
      <c r="N48" s="92"/>
      <c r="O48" s="92"/>
      <c r="P48" s="92"/>
      <c r="Q48" s="108"/>
      <c r="R48" s="108"/>
      <c r="S48" s="108"/>
    </row>
  </sheetData>
  <mergeCells count="297">
    <mergeCell ref="F43:H48"/>
    <mergeCell ref="H39:H40"/>
    <mergeCell ref="I39:I40"/>
    <mergeCell ref="J39:J40"/>
    <mergeCell ref="K39:K40"/>
    <mergeCell ref="O39:O40"/>
    <mergeCell ref="P39:P40"/>
    <mergeCell ref="Q39:Q40"/>
    <mergeCell ref="R39:R40"/>
    <mergeCell ref="S39:S40"/>
    <mergeCell ref="L39:L40"/>
    <mergeCell ref="M39:M40"/>
    <mergeCell ref="N39:N40"/>
    <mergeCell ref="Q35:Q36"/>
    <mergeCell ref="R35:R36"/>
    <mergeCell ref="S35:S36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B33:B34"/>
    <mergeCell ref="C33:C34"/>
    <mergeCell ref="E33:E34"/>
    <mergeCell ref="F33:F34"/>
    <mergeCell ref="G33:G34"/>
    <mergeCell ref="B39:B40"/>
    <mergeCell ref="C39:C40"/>
    <mergeCell ref="E39:E40"/>
    <mergeCell ref="F39:F40"/>
    <mergeCell ref="G39:G40"/>
    <mergeCell ref="B35:B36"/>
    <mergeCell ref="C35:C36"/>
    <mergeCell ref="E35:E36"/>
    <mergeCell ref="F35:F36"/>
    <mergeCell ref="G35:G36"/>
    <mergeCell ref="P29:P30"/>
    <mergeCell ref="Q29:Q30"/>
    <mergeCell ref="R29:R30"/>
    <mergeCell ref="S29:S30"/>
    <mergeCell ref="P33:P34"/>
    <mergeCell ref="Q33:Q34"/>
    <mergeCell ref="H33:H34"/>
    <mergeCell ref="I33:I34"/>
    <mergeCell ref="J33:J34"/>
    <mergeCell ref="K33:K34"/>
    <mergeCell ref="L33:L34"/>
    <mergeCell ref="R33:R34"/>
    <mergeCell ref="S33:S34"/>
    <mergeCell ref="M33:M34"/>
    <mergeCell ref="N33:N34"/>
    <mergeCell ref="O33:O34"/>
    <mergeCell ref="H31:H32"/>
    <mergeCell ref="I31:I32"/>
    <mergeCell ref="J31:J32"/>
    <mergeCell ref="K31:K32"/>
    <mergeCell ref="O31:O32"/>
    <mergeCell ref="P31:P32"/>
    <mergeCell ref="Q31:Q32"/>
    <mergeCell ref="R31:R32"/>
    <mergeCell ref="S31:S32"/>
    <mergeCell ref="L31:L32"/>
    <mergeCell ref="M31:M32"/>
    <mergeCell ref="N31:N32"/>
    <mergeCell ref="Q27:Q28"/>
    <mergeCell ref="R27:R28"/>
    <mergeCell ref="S27:S28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B31:B32"/>
    <mergeCell ref="C31:C32"/>
    <mergeCell ref="E31:E32"/>
    <mergeCell ref="F31:F32"/>
    <mergeCell ref="G31:G32"/>
    <mergeCell ref="R25:R26"/>
    <mergeCell ref="S25:S26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M25:M26"/>
    <mergeCell ref="N25:N26"/>
    <mergeCell ref="O25:O26"/>
    <mergeCell ref="P25:P26"/>
    <mergeCell ref="Q25:Q26"/>
    <mergeCell ref="H25:H26"/>
    <mergeCell ref="I25:I26"/>
    <mergeCell ref="J25:J26"/>
    <mergeCell ref="K25:K26"/>
    <mergeCell ref="L25:L26"/>
    <mergeCell ref="B25:B26"/>
    <mergeCell ref="C25:C26"/>
    <mergeCell ref="E25:E26"/>
    <mergeCell ref="F25:F26"/>
    <mergeCell ref="G25:G26"/>
    <mergeCell ref="O23:O24"/>
    <mergeCell ref="P23:P24"/>
    <mergeCell ref="Q23:Q24"/>
    <mergeCell ref="R23:R24"/>
    <mergeCell ref="S23:S24"/>
    <mergeCell ref="P21:P22"/>
    <mergeCell ref="Q21:Q22"/>
    <mergeCell ref="R21:R22"/>
    <mergeCell ref="S21:S22"/>
    <mergeCell ref="B23:B24"/>
    <mergeCell ref="C23:C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Q19:Q20"/>
    <mergeCell ref="R19:R20"/>
    <mergeCell ref="S19:S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Q7:Q8"/>
    <mergeCell ref="S13:S14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M17:M18"/>
    <mergeCell ref="N17:N18"/>
    <mergeCell ref="O17:O18"/>
    <mergeCell ref="P17:P18"/>
    <mergeCell ref="Q17:Q18"/>
    <mergeCell ref="H17:H18"/>
    <mergeCell ref="J11:J12"/>
    <mergeCell ref="A1:S1"/>
    <mergeCell ref="S4:S5"/>
    <mergeCell ref="S7:S8"/>
    <mergeCell ref="S9:S10"/>
    <mergeCell ref="S11:S12"/>
    <mergeCell ref="M7:M8"/>
    <mergeCell ref="L7:L8"/>
    <mergeCell ref="K7:K8"/>
    <mergeCell ref="F7:F8"/>
    <mergeCell ref="G7:G8"/>
    <mergeCell ref="F11:F12"/>
    <mergeCell ref="G11:G12"/>
    <mergeCell ref="H11:H12"/>
    <mergeCell ref="I11:I12"/>
    <mergeCell ref="J7:J8"/>
    <mergeCell ref="J9:J10"/>
    <mergeCell ref="P4:P5"/>
    <mergeCell ref="K4:L4"/>
    <mergeCell ref="H4:H5"/>
    <mergeCell ref="J4:J5"/>
    <mergeCell ref="N7:N8"/>
    <mergeCell ref="O7:O8"/>
    <mergeCell ref="P7:P8"/>
    <mergeCell ref="K13:K14"/>
    <mergeCell ref="J13:J14"/>
    <mergeCell ref="L13:L14"/>
    <mergeCell ref="M13:M14"/>
    <mergeCell ref="N13:N14"/>
    <mergeCell ref="K17:K18"/>
    <mergeCell ref="L17:L18"/>
    <mergeCell ref="B17:B18"/>
    <mergeCell ref="C17:C18"/>
    <mergeCell ref="E17:E18"/>
    <mergeCell ref="F17:F18"/>
    <mergeCell ref="G17:G18"/>
    <mergeCell ref="J17:J18"/>
    <mergeCell ref="I17:I18"/>
    <mergeCell ref="O4:O5"/>
    <mergeCell ref="I4:I5"/>
    <mergeCell ref="B4:B5"/>
    <mergeCell ref="M4:M5"/>
    <mergeCell ref="N4:N5"/>
    <mergeCell ref="O13:O14"/>
    <mergeCell ref="P13:P14"/>
    <mergeCell ref="Q13:Q14"/>
    <mergeCell ref="B13:B14"/>
    <mergeCell ref="C13:C14"/>
    <mergeCell ref="E7:E8"/>
    <mergeCell ref="E9:E10"/>
    <mergeCell ref="E11:E12"/>
    <mergeCell ref="E13:E14"/>
    <mergeCell ref="B9:B10"/>
    <mergeCell ref="B7:B8"/>
    <mergeCell ref="C7:C8"/>
    <mergeCell ref="C9:C10"/>
    <mergeCell ref="B11:B12"/>
    <mergeCell ref="C11:C12"/>
    <mergeCell ref="F13:F14"/>
    <mergeCell ref="G13:G14"/>
    <mergeCell ref="H13:H14"/>
    <mergeCell ref="I13:I14"/>
    <mergeCell ref="A2:D2"/>
    <mergeCell ref="F9:F10"/>
    <mergeCell ref="G9:G10"/>
    <mergeCell ref="H9:H10"/>
    <mergeCell ref="I9:I10"/>
    <mergeCell ref="H7:H8"/>
    <mergeCell ref="I7:I8"/>
    <mergeCell ref="A4:A5"/>
    <mergeCell ref="D4:D5"/>
    <mergeCell ref="E4:E5"/>
    <mergeCell ref="F4:F5"/>
    <mergeCell ref="G4:G5"/>
    <mergeCell ref="C4:C5"/>
    <mergeCell ref="S2:S3"/>
    <mergeCell ref="L43:L48"/>
    <mergeCell ref="Q43:S48"/>
    <mergeCell ref="R13:R14"/>
    <mergeCell ref="K9:K10"/>
    <mergeCell ref="L9:L10"/>
    <mergeCell ref="M9:M10"/>
    <mergeCell ref="N9:N10"/>
    <mergeCell ref="O9:O10"/>
    <mergeCell ref="L11:L12"/>
    <mergeCell ref="M11:M12"/>
    <mergeCell ref="N11:N12"/>
    <mergeCell ref="O11:O12"/>
    <mergeCell ref="P11:P12"/>
    <mergeCell ref="K11:K12"/>
    <mergeCell ref="R9:R10"/>
    <mergeCell ref="Q11:Q12"/>
    <mergeCell ref="R11:R12"/>
    <mergeCell ref="R7:R8"/>
    <mergeCell ref="J2:N2"/>
    <mergeCell ref="J3:N3"/>
    <mergeCell ref="P9:P10"/>
    <mergeCell ref="Q9:Q10"/>
    <mergeCell ref="Q4:R4"/>
  </mergeCells>
  <phoneticPr fontId="5" type="noConversion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3" zoomScale="70" zoomScaleNormal="70" workbookViewId="0">
      <selection activeCell="K11" sqref="K11:K2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24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72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10</v>
      </c>
      <c r="L6" s="34">
        <v>11</v>
      </c>
      <c r="M6" s="34">
        <v>12</v>
      </c>
      <c r="N6" s="34">
        <v>13</v>
      </c>
      <c r="O6" s="34">
        <v>14</v>
      </c>
      <c r="P6" s="34">
        <v>15</v>
      </c>
      <c r="Q6" s="34">
        <v>16</v>
      </c>
      <c r="R6" s="34">
        <v>17</v>
      </c>
      <c r="S6" s="11">
        <v>19</v>
      </c>
    </row>
    <row r="7" spans="1:19" ht="39.75" hidden="1" customHeight="1" x14ac:dyDescent="0.25">
      <c r="A7" s="23">
        <v>44805</v>
      </c>
      <c r="B7" s="13">
        <v>2784.8</v>
      </c>
      <c r="C7" s="13">
        <v>1063.0999999999999</v>
      </c>
      <c r="D7" s="24" t="s">
        <v>18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840</v>
      </c>
      <c r="M7" s="37"/>
      <c r="N7" s="37"/>
      <c r="O7" s="60">
        <v>839.84799999999996</v>
      </c>
      <c r="P7" s="49">
        <f>O7*P2</f>
        <v>3695.3312000000001</v>
      </c>
      <c r="Q7" s="60"/>
      <c r="R7" s="60"/>
      <c r="S7" s="20">
        <v>0</v>
      </c>
    </row>
    <row r="8" spans="1:19" ht="39.75" hidden="1" customHeight="1" x14ac:dyDescent="0.25">
      <c r="A8" s="23">
        <v>44835</v>
      </c>
      <c r="B8" s="13">
        <v>2784.8</v>
      </c>
      <c r="C8" s="13">
        <v>1063.0999999999999</v>
      </c>
      <c r="D8" s="24" t="s">
        <v>18</v>
      </c>
      <c r="E8" s="13" t="s">
        <v>23</v>
      </c>
      <c r="F8" s="14">
        <v>4227.88</v>
      </c>
      <c r="G8" s="14">
        <f>5469+42+27</f>
        <v>5538</v>
      </c>
      <c r="H8" s="14">
        <f>40+14+15</f>
        <v>69</v>
      </c>
      <c r="I8" s="14">
        <f>F8-(G8+H8)</f>
        <v>-1379.12</v>
      </c>
      <c r="J8" s="35">
        <f>I8</f>
        <v>-1379.12</v>
      </c>
      <c r="K8" s="39" t="s">
        <v>64</v>
      </c>
      <c r="L8" s="46">
        <v>0</v>
      </c>
      <c r="M8" s="41"/>
      <c r="N8" s="41"/>
      <c r="O8" s="60">
        <v>839.84799999999996</v>
      </c>
      <c r="P8" s="49">
        <f>O8*P2</f>
        <v>3695.3312000000001</v>
      </c>
      <c r="Q8" s="62">
        <f>O8</f>
        <v>839.84799999999996</v>
      </c>
      <c r="R8" s="62"/>
      <c r="S8" s="20">
        <f>-(Q8*P2)</f>
        <v>-3695.3312000000001</v>
      </c>
    </row>
    <row r="9" spans="1:19" ht="39.75" hidden="1" customHeight="1" x14ac:dyDescent="0.25">
      <c r="A9" s="23">
        <v>44866</v>
      </c>
      <c r="B9" s="13">
        <v>2784.8</v>
      </c>
      <c r="C9" s="13">
        <v>1063.0999999999999</v>
      </c>
      <c r="D9" s="24" t="s">
        <v>18</v>
      </c>
      <c r="E9" s="13" t="s">
        <v>23</v>
      </c>
      <c r="F9" s="8">
        <v>7319.08</v>
      </c>
      <c r="G9" s="8">
        <f>5274+108+40</f>
        <v>5422</v>
      </c>
      <c r="H9" s="8">
        <f>50+14+15</f>
        <v>79</v>
      </c>
      <c r="I9" s="14">
        <f>F9-(G9+H9)</f>
        <v>1818.08</v>
      </c>
      <c r="J9" s="35">
        <v>439</v>
      </c>
      <c r="K9" s="39" t="s">
        <v>66</v>
      </c>
      <c r="L9" s="46">
        <v>439</v>
      </c>
      <c r="M9" s="40"/>
      <c r="N9" s="40"/>
      <c r="O9" s="60">
        <v>839.84799999999996</v>
      </c>
      <c r="P9" s="49">
        <f>O9*P2</f>
        <v>3695.3312000000001</v>
      </c>
      <c r="Q9" s="62">
        <f>J9-O9</f>
        <v>-400.84799999999996</v>
      </c>
      <c r="R9" s="62"/>
      <c r="S9" s="20">
        <f>-(Q9*P2)</f>
        <v>1763.7311999999999</v>
      </c>
    </row>
    <row r="10" spans="1:19" ht="39.75" hidden="1" customHeight="1" x14ac:dyDescent="0.25">
      <c r="A10" s="23">
        <v>44896</v>
      </c>
      <c r="B10" s="5">
        <v>2784.8</v>
      </c>
      <c r="C10" s="5">
        <v>1063.0999999999999</v>
      </c>
      <c r="D10" s="24" t="s">
        <v>18</v>
      </c>
      <c r="E10" s="5" t="s">
        <v>23</v>
      </c>
      <c r="F10" s="8"/>
      <c r="G10" s="8"/>
      <c r="H10" s="8"/>
      <c r="I10" s="8">
        <f t="shared" ref="I10" si="0">F10-(G10+H10)</f>
        <v>0</v>
      </c>
      <c r="J10" s="35">
        <f>I10</f>
        <v>0</v>
      </c>
      <c r="K10" s="39" t="s">
        <v>67</v>
      </c>
      <c r="L10" s="53">
        <f>I10</f>
        <v>0</v>
      </c>
      <c r="M10" s="52">
        <f>R10/C10</f>
        <v>-0.78999905935471737</v>
      </c>
      <c r="N10" s="52">
        <f>M10*P3</f>
        <v>-3.7840954943090961</v>
      </c>
      <c r="O10" s="61">
        <v>839.84799999999996</v>
      </c>
      <c r="P10" s="51">
        <f>O10*P3</f>
        <v>4022.87192</v>
      </c>
      <c r="Q10" s="62"/>
      <c r="R10" s="62">
        <f>J10-O10</f>
        <v>-839.84799999999996</v>
      </c>
      <c r="S10" s="20">
        <f>R10*P3</f>
        <v>-4022.87192</v>
      </c>
    </row>
    <row r="11" spans="1:19" ht="31.5" customHeight="1" x14ac:dyDescent="0.25">
      <c r="A11" s="75">
        <v>44927</v>
      </c>
      <c r="B11" s="76">
        <v>2784.8</v>
      </c>
      <c r="C11" s="76">
        <v>1063.0999999999999</v>
      </c>
      <c r="D11" s="77" t="s">
        <v>18</v>
      </c>
      <c r="E11" s="76" t="s">
        <v>23</v>
      </c>
      <c r="F11" s="78">
        <f>6633.64</f>
        <v>6633.64</v>
      </c>
      <c r="G11" s="78">
        <f>5335+187+62</f>
        <v>5584</v>
      </c>
      <c r="H11" s="78">
        <f>40+14+15</f>
        <v>69</v>
      </c>
      <c r="I11" s="78">
        <f t="shared" ref="I11" si="1">F11-(G11+H11)</f>
        <v>980.64000000000033</v>
      </c>
      <c r="J11" s="79">
        <f>I11</f>
        <v>980.64000000000033</v>
      </c>
      <c r="K11" s="192" t="s">
        <v>80</v>
      </c>
      <c r="L11" s="80">
        <f>IF(J11&lt;0,0,I11)</f>
        <v>980.64000000000033</v>
      </c>
      <c r="M11" s="81"/>
      <c r="N11" s="81"/>
      <c r="O11" s="82">
        <v>839.84799999999996</v>
      </c>
      <c r="P11" s="83">
        <f>O11*P3</f>
        <v>4022.87192</v>
      </c>
      <c r="Q11" s="84"/>
      <c r="R11" s="84">
        <f>L11-O11</f>
        <v>140.79200000000037</v>
      </c>
      <c r="S11" s="85">
        <f>R11*P3</f>
        <v>674.39368000000184</v>
      </c>
    </row>
    <row r="12" spans="1:19" ht="31.5" customHeight="1" x14ac:dyDescent="0.25">
      <c r="A12" s="75">
        <v>44958</v>
      </c>
      <c r="B12" s="76">
        <v>2784.8</v>
      </c>
      <c r="C12" s="76">
        <v>1063.0999999999999</v>
      </c>
      <c r="D12" s="77" t="s">
        <v>18</v>
      </c>
      <c r="E12" s="76" t="s">
        <v>23</v>
      </c>
      <c r="F12" s="78">
        <v>4459.32</v>
      </c>
      <c r="G12" s="78">
        <f>5319+16+4</f>
        <v>5339</v>
      </c>
      <c r="H12" s="78">
        <f>50+14+15</f>
        <v>79</v>
      </c>
      <c r="I12" s="78">
        <f t="shared" ref="I12:I22" si="2">F12-(G12+H12)</f>
        <v>-958.68000000000029</v>
      </c>
      <c r="J12" s="79">
        <f t="shared" ref="J12:J22" si="3">I12</f>
        <v>-958.68000000000029</v>
      </c>
      <c r="K12" s="192"/>
      <c r="L12" s="80">
        <f t="shared" ref="L12:L22" si="4">IF(J12&lt;0,0,I12)</f>
        <v>0</v>
      </c>
      <c r="M12" s="81"/>
      <c r="N12" s="81"/>
      <c r="O12" s="82">
        <v>839.84799999999996</v>
      </c>
      <c r="P12" s="83">
        <f>O12*P3</f>
        <v>4022.87192</v>
      </c>
      <c r="Q12" s="84">
        <f>-O12</f>
        <v>-839.84799999999996</v>
      </c>
      <c r="R12" s="84"/>
      <c r="S12" s="85">
        <f>Q12*P3</f>
        <v>-4022.87192</v>
      </c>
    </row>
    <row r="13" spans="1:19" ht="31.5" customHeight="1" x14ac:dyDescent="0.25">
      <c r="A13" s="75">
        <v>44986</v>
      </c>
      <c r="B13" s="76">
        <v>2784.8</v>
      </c>
      <c r="C13" s="76">
        <v>1063.0999999999999</v>
      </c>
      <c r="D13" s="77" t="s">
        <v>18</v>
      </c>
      <c r="E13" s="76" t="s">
        <v>23</v>
      </c>
      <c r="F13" s="78">
        <v>6776.64</v>
      </c>
      <c r="G13" s="78">
        <f>5329+113+39</f>
        <v>5481</v>
      </c>
      <c r="H13" s="78">
        <f>50+14+15</f>
        <v>79</v>
      </c>
      <c r="I13" s="78">
        <f t="shared" si="2"/>
        <v>1216.6400000000003</v>
      </c>
      <c r="J13" s="79">
        <f>I13+J12</f>
        <v>257.96000000000004</v>
      </c>
      <c r="K13" s="192" t="s">
        <v>81</v>
      </c>
      <c r="L13" s="80">
        <f>J13</f>
        <v>257.96000000000004</v>
      </c>
      <c r="M13" s="81"/>
      <c r="N13" s="81"/>
      <c r="O13" s="82">
        <v>839.84799999999996</v>
      </c>
      <c r="P13" s="83">
        <f>O13*P3</f>
        <v>4022.87192</v>
      </c>
      <c r="Q13" s="84">
        <f>-O13+L13</f>
        <v>-581.88799999999992</v>
      </c>
      <c r="R13" s="84"/>
      <c r="S13" s="85">
        <f>Q13*P3</f>
        <v>-2787.2435199999995</v>
      </c>
    </row>
    <row r="14" spans="1:19" ht="31.5" customHeight="1" x14ac:dyDescent="0.25">
      <c r="A14" s="75">
        <v>45017</v>
      </c>
      <c r="B14" s="76">
        <v>2784.8</v>
      </c>
      <c r="C14" s="76">
        <v>1063.0999999999999</v>
      </c>
      <c r="D14" s="77" t="s">
        <v>18</v>
      </c>
      <c r="E14" s="76" t="s">
        <v>23</v>
      </c>
      <c r="F14" s="78">
        <v>5317.96</v>
      </c>
      <c r="G14" s="78">
        <f>4539+80+36</f>
        <v>4655</v>
      </c>
      <c r="H14" s="78">
        <f>50+14+15</f>
        <v>79</v>
      </c>
      <c r="I14" s="78">
        <f t="shared" si="2"/>
        <v>583.96</v>
      </c>
      <c r="J14" s="79">
        <f t="shared" si="3"/>
        <v>583.96</v>
      </c>
      <c r="K14" s="192" t="s">
        <v>82</v>
      </c>
      <c r="L14" s="80">
        <f t="shared" si="4"/>
        <v>583.96</v>
      </c>
      <c r="M14" s="81"/>
      <c r="N14" s="81"/>
      <c r="O14" s="82">
        <v>839.84799999999996</v>
      </c>
      <c r="P14" s="83">
        <f>O14*P3</f>
        <v>4022.87192</v>
      </c>
      <c r="Q14" s="84">
        <f>-O14+L14</f>
        <v>-255.88799999999992</v>
      </c>
      <c r="R14" s="84"/>
      <c r="S14" s="85">
        <f>Q14*P3</f>
        <v>-1225.7035199999996</v>
      </c>
    </row>
    <row r="15" spans="1:19" ht="31.5" customHeight="1" x14ac:dyDescent="0.25">
      <c r="A15" s="75">
        <v>45047</v>
      </c>
      <c r="B15" s="76">
        <v>2784.8</v>
      </c>
      <c r="C15" s="76">
        <v>1063.0999999999999</v>
      </c>
      <c r="D15" s="77" t="s">
        <v>18</v>
      </c>
      <c r="E15" s="76" t="s">
        <v>23</v>
      </c>
      <c r="F15" s="78">
        <v>6072</v>
      </c>
      <c r="G15" s="78">
        <f>6219+164+63</f>
        <v>6446</v>
      </c>
      <c r="H15" s="78">
        <f>50+14+15</f>
        <v>79</v>
      </c>
      <c r="I15" s="78">
        <f t="shared" si="2"/>
        <v>-453</v>
      </c>
      <c r="J15" s="79">
        <f t="shared" si="3"/>
        <v>-453</v>
      </c>
      <c r="K15" s="192" t="s">
        <v>83</v>
      </c>
      <c r="L15" s="80">
        <f t="shared" si="4"/>
        <v>0</v>
      </c>
      <c r="M15" s="81"/>
      <c r="N15" s="81"/>
      <c r="O15" s="82">
        <v>839.84799999999996</v>
      </c>
      <c r="P15" s="83">
        <f>O15*P3</f>
        <v>4022.87192</v>
      </c>
      <c r="Q15" s="84">
        <f t="shared" ref="Q15" si="5">-O15</f>
        <v>-839.84799999999996</v>
      </c>
      <c r="R15" s="84"/>
      <c r="S15" s="85">
        <f>Q15*P3</f>
        <v>-4022.87192</v>
      </c>
    </row>
    <row r="16" spans="1:19" ht="31.5" customHeight="1" x14ac:dyDescent="0.25">
      <c r="A16" s="75">
        <v>45078</v>
      </c>
      <c r="B16" s="76">
        <v>2784.8</v>
      </c>
      <c r="C16" s="76">
        <v>1063.0999999999999</v>
      </c>
      <c r="D16" s="77" t="s">
        <v>18</v>
      </c>
      <c r="E16" s="76" t="s">
        <v>23</v>
      </c>
      <c r="F16" s="78">
        <v>5961.76</v>
      </c>
      <c r="G16" s="78">
        <f>4606+50+20</f>
        <v>4676</v>
      </c>
      <c r="H16" s="78">
        <f t="shared" ref="H16:H18" si="6">50+14+15</f>
        <v>79</v>
      </c>
      <c r="I16" s="78">
        <f t="shared" si="2"/>
        <v>1206.7600000000002</v>
      </c>
      <c r="J16" s="79">
        <f>I16+J15</f>
        <v>753.76000000000022</v>
      </c>
      <c r="K16" s="192" t="s">
        <v>84</v>
      </c>
      <c r="L16" s="80">
        <f>J16</f>
        <v>753.76000000000022</v>
      </c>
      <c r="M16" s="81"/>
      <c r="N16" s="81"/>
      <c r="O16" s="82">
        <v>839.84799999999996</v>
      </c>
      <c r="P16" s="83">
        <f>O16*P3</f>
        <v>4022.87192</v>
      </c>
      <c r="Q16" s="84">
        <f>-O16+L16</f>
        <v>-86.087999999999738</v>
      </c>
      <c r="R16" s="84"/>
      <c r="S16" s="85">
        <f>Q16*P3</f>
        <v>-412.36151999999873</v>
      </c>
    </row>
    <row r="17" spans="1:19" ht="31.5" customHeight="1" x14ac:dyDescent="0.25">
      <c r="A17" s="75">
        <v>45108</v>
      </c>
      <c r="B17" s="76">
        <v>2784.8</v>
      </c>
      <c r="C17" s="76">
        <v>1063.0999999999999</v>
      </c>
      <c r="D17" s="77" t="s">
        <v>18</v>
      </c>
      <c r="E17" s="76" t="s">
        <v>23</v>
      </c>
      <c r="F17" s="78">
        <v>4357.32</v>
      </c>
      <c r="G17" s="78">
        <f>4107+102+38</f>
        <v>4247</v>
      </c>
      <c r="H17" s="78">
        <f t="shared" si="6"/>
        <v>79</v>
      </c>
      <c r="I17" s="78">
        <f t="shared" si="2"/>
        <v>31.319999999999709</v>
      </c>
      <c r="J17" s="79">
        <f t="shared" si="3"/>
        <v>31.319999999999709</v>
      </c>
      <c r="K17" s="192" t="s">
        <v>85</v>
      </c>
      <c r="L17" s="80">
        <f t="shared" si="4"/>
        <v>31.319999999999709</v>
      </c>
      <c r="M17" s="81"/>
      <c r="N17" s="81"/>
      <c r="O17" s="82">
        <v>839.84799999999996</v>
      </c>
      <c r="P17" s="83">
        <f>O17*P3</f>
        <v>4022.87192</v>
      </c>
      <c r="Q17" s="84">
        <f>-O17+L17</f>
        <v>-808.52800000000025</v>
      </c>
      <c r="R17" s="84"/>
      <c r="S17" s="85">
        <f>Q17*P3</f>
        <v>-3872.8491200000012</v>
      </c>
    </row>
    <row r="18" spans="1:19" ht="31.5" customHeight="1" x14ac:dyDescent="0.25">
      <c r="A18" s="75">
        <v>45139</v>
      </c>
      <c r="B18" s="76">
        <v>2784.8</v>
      </c>
      <c r="C18" s="76">
        <v>1063.0999999999999</v>
      </c>
      <c r="D18" s="77" t="s">
        <v>18</v>
      </c>
      <c r="E18" s="76" t="s">
        <v>23</v>
      </c>
      <c r="F18" s="78">
        <v>5287.48</v>
      </c>
      <c r="G18" s="78">
        <f>4389+99+39</f>
        <v>4527</v>
      </c>
      <c r="H18" s="78">
        <f t="shared" si="6"/>
        <v>79</v>
      </c>
      <c r="I18" s="78">
        <f t="shared" si="2"/>
        <v>681.47999999999956</v>
      </c>
      <c r="J18" s="79">
        <f t="shared" si="3"/>
        <v>681.47999999999956</v>
      </c>
      <c r="K18" s="192" t="s">
        <v>86</v>
      </c>
      <c r="L18" s="80">
        <f t="shared" si="4"/>
        <v>681.47999999999956</v>
      </c>
      <c r="M18" s="81"/>
      <c r="N18" s="81"/>
      <c r="O18" s="82">
        <v>839.84799999999996</v>
      </c>
      <c r="P18" s="83">
        <f>O18*P3</f>
        <v>4022.87192</v>
      </c>
      <c r="Q18" s="84">
        <f>-O18+L18</f>
        <v>-158.36800000000039</v>
      </c>
      <c r="R18" s="84"/>
      <c r="S18" s="85">
        <f>Q18*P3</f>
        <v>-758.58272000000193</v>
      </c>
    </row>
    <row r="19" spans="1:19" ht="31.5" customHeight="1" x14ac:dyDescent="0.25">
      <c r="A19" s="75">
        <v>45170</v>
      </c>
      <c r="B19" s="76">
        <v>2784.8</v>
      </c>
      <c r="C19" s="76">
        <v>1063.0999999999999</v>
      </c>
      <c r="D19" s="77" t="s">
        <v>18</v>
      </c>
      <c r="E19" s="76" t="s">
        <v>23</v>
      </c>
      <c r="F19" s="78">
        <v>5135.84</v>
      </c>
      <c r="G19" s="78">
        <f>4672+49+44</f>
        <v>4765</v>
      </c>
      <c r="H19" s="78">
        <f>40+14+15</f>
        <v>69</v>
      </c>
      <c r="I19" s="78">
        <f t="shared" si="2"/>
        <v>301.84000000000015</v>
      </c>
      <c r="J19" s="79">
        <f t="shared" si="3"/>
        <v>301.84000000000015</v>
      </c>
      <c r="K19" s="192" t="s">
        <v>87</v>
      </c>
      <c r="L19" s="80">
        <f t="shared" si="4"/>
        <v>301.84000000000015</v>
      </c>
      <c r="M19" s="81"/>
      <c r="N19" s="81"/>
      <c r="O19" s="82">
        <v>839.84799999999996</v>
      </c>
      <c r="P19" s="83">
        <f>O19*P3</f>
        <v>4022.87192</v>
      </c>
      <c r="Q19" s="84">
        <f>-O19+L19</f>
        <v>-538.00799999999981</v>
      </c>
      <c r="R19" s="84"/>
      <c r="S19" s="85">
        <f>Q19*P3</f>
        <v>-2577.0583199999992</v>
      </c>
    </row>
    <row r="20" spans="1:19" ht="31.5" customHeight="1" x14ac:dyDescent="0.25">
      <c r="A20" s="75">
        <v>45200</v>
      </c>
      <c r="B20" s="76">
        <v>2784.8</v>
      </c>
      <c r="C20" s="76">
        <v>1063.0999999999999</v>
      </c>
      <c r="D20" s="77" t="s">
        <v>18</v>
      </c>
      <c r="E20" s="76" t="s">
        <v>23</v>
      </c>
      <c r="F20" s="78">
        <v>5913.52</v>
      </c>
      <c r="G20" s="78">
        <f>4728+159+39</f>
        <v>4926</v>
      </c>
      <c r="H20" s="78">
        <f t="shared" ref="H20" si="7">40+14+15</f>
        <v>69</v>
      </c>
      <c r="I20" s="78">
        <f t="shared" si="2"/>
        <v>918.52000000000044</v>
      </c>
      <c r="J20" s="79">
        <f t="shared" si="3"/>
        <v>918.52000000000044</v>
      </c>
      <c r="K20" s="192" t="s">
        <v>88</v>
      </c>
      <c r="L20" s="80">
        <f t="shared" si="4"/>
        <v>918.52000000000044</v>
      </c>
      <c r="M20" s="81"/>
      <c r="N20" s="81"/>
      <c r="O20" s="82">
        <v>839.84799999999996</v>
      </c>
      <c r="P20" s="83">
        <f>O20*P3</f>
        <v>4022.87192</v>
      </c>
      <c r="Q20" s="84"/>
      <c r="R20" s="84">
        <f>L20-O20</f>
        <v>78.67200000000048</v>
      </c>
      <c r="S20" s="85">
        <f>R20*P3</f>
        <v>376.83888000000229</v>
      </c>
    </row>
    <row r="21" spans="1:19" ht="31.5" customHeight="1" x14ac:dyDescent="0.25">
      <c r="A21" s="75">
        <v>45231</v>
      </c>
      <c r="B21" s="76">
        <v>2784.8</v>
      </c>
      <c r="C21" s="76">
        <v>1063.0999999999999</v>
      </c>
      <c r="D21" s="77" t="s">
        <v>18</v>
      </c>
      <c r="E21" s="76" t="s">
        <v>23</v>
      </c>
      <c r="F21" s="78">
        <v>5980.44</v>
      </c>
      <c r="G21" s="78">
        <f>5003+108+39</f>
        <v>5150</v>
      </c>
      <c r="H21" s="78">
        <f>50+14+15</f>
        <v>79</v>
      </c>
      <c r="I21" s="78">
        <f t="shared" si="2"/>
        <v>751.4399999999996</v>
      </c>
      <c r="J21" s="79">
        <f t="shared" si="3"/>
        <v>751.4399999999996</v>
      </c>
      <c r="K21" s="192" t="s">
        <v>89</v>
      </c>
      <c r="L21" s="80">
        <f t="shared" si="4"/>
        <v>751.4399999999996</v>
      </c>
      <c r="M21" s="81"/>
      <c r="N21" s="81"/>
      <c r="O21" s="82">
        <v>839.84799999999996</v>
      </c>
      <c r="P21" s="83">
        <f>O21*P3</f>
        <v>4022.87192</v>
      </c>
      <c r="Q21" s="84">
        <f>-O21+L21</f>
        <v>-88.408000000000357</v>
      </c>
      <c r="R21" s="84"/>
      <c r="S21" s="85">
        <f>Q21*P3</f>
        <v>-423.47432000000168</v>
      </c>
    </row>
    <row r="22" spans="1:19" ht="31.5" customHeight="1" x14ac:dyDescent="0.25">
      <c r="A22" s="75">
        <v>45261</v>
      </c>
      <c r="B22" s="76">
        <v>2784.8</v>
      </c>
      <c r="C22" s="76">
        <v>1063.0999999999999</v>
      </c>
      <c r="D22" s="77" t="s">
        <v>18</v>
      </c>
      <c r="E22" s="76" t="s">
        <v>23</v>
      </c>
      <c r="F22" s="78">
        <v>5813.72</v>
      </c>
      <c r="G22" s="78">
        <f>4522+108+41</f>
        <v>4671</v>
      </c>
      <c r="H22" s="78">
        <f>50+14+15</f>
        <v>79</v>
      </c>
      <c r="I22" s="78">
        <f t="shared" si="2"/>
        <v>1063.7200000000003</v>
      </c>
      <c r="J22" s="79">
        <f t="shared" si="3"/>
        <v>1063.7200000000003</v>
      </c>
      <c r="K22" s="193" t="s">
        <v>90</v>
      </c>
      <c r="L22" s="80">
        <f t="shared" si="4"/>
        <v>1063.7200000000003</v>
      </c>
      <c r="M22" s="81"/>
      <c r="N22" s="81"/>
      <c r="O22" s="82">
        <v>839.84799999999996</v>
      </c>
      <c r="P22" s="83">
        <f>O22*P3</f>
        <v>4022.87192</v>
      </c>
      <c r="Q22" s="84"/>
      <c r="R22" s="84">
        <f>L22-O22</f>
        <v>223.8720000000003</v>
      </c>
      <c r="S22" s="85">
        <f>R22*P3</f>
        <v>1072.3468800000014</v>
      </c>
    </row>
    <row r="23" spans="1:19" s="72" customFormat="1" ht="31.5" customHeight="1" x14ac:dyDescent="0.25">
      <c r="A23" s="96"/>
      <c r="B23" s="97"/>
      <c r="C23" s="97"/>
      <c r="L23" s="72">
        <f>SUM(L11:L22)</f>
        <v>6324.64</v>
      </c>
      <c r="O23" s="72">
        <f>SUM(O11:O22)</f>
        <v>10078.175999999999</v>
      </c>
      <c r="P23" s="72">
        <f>SUM(P11:P22)</f>
        <v>48274.463039999995</v>
      </c>
      <c r="R23" s="72">
        <f>SUM(Q11:R22)</f>
        <v>-3753.5359999999991</v>
      </c>
      <c r="S23" s="72">
        <f>SUM(S11:S22)</f>
        <v>-17979.437439999994</v>
      </c>
    </row>
    <row r="24" spans="1:19" s="72" customFormat="1" ht="31.5" customHeight="1" x14ac:dyDescent="0.25">
      <c r="A24" s="96"/>
      <c r="L24" s="72">
        <f>L23*P3</f>
        <v>30295.025600000001</v>
      </c>
    </row>
    <row r="25" spans="1:19" s="72" customFormat="1" ht="31.5" customHeight="1" x14ac:dyDescent="0.25">
      <c r="A25" s="96"/>
    </row>
    <row r="26" spans="1:19" ht="31.5" customHeight="1" x14ac:dyDescent="0.25"/>
    <row r="27" spans="1:19" ht="31.5" customHeight="1" x14ac:dyDescent="0.25"/>
    <row r="28" spans="1:19" ht="31.5" customHeight="1" x14ac:dyDescent="0.25"/>
    <row r="29" spans="1:19" ht="31.5" customHeight="1" x14ac:dyDescent="0.25"/>
    <row r="30" spans="1:19" ht="31.5" customHeight="1" x14ac:dyDescent="0.25"/>
    <row r="31" spans="1:19" ht="31.5" customHeight="1" x14ac:dyDescent="0.25"/>
    <row r="32" spans="1:19" ht="31.5" customHeight="1" x14ac:dyDescent="0.25"/>
    <row r="33" ht="31.5" customHeight="1" x14ac:dyDescent="0.25"/>
    <row r="34" ht="31.5" customHeight="1" x14ac:dyDescent="0.25"/>
    <row r="35" ht="31.5" customHeight="1" x14ac:dyDescent="0.25"/>
    <row r="36" ht="31.5" customHeight="1" x14ac:dyDescent="0.25"/>
    <row r="37" ht="31.5" customHeight="1" x14ac:dyDescent="0.25"/>
  </sheetData>
  <mergeCells count="22">
    <mergeCell ref="A1:S1"/>
    <mergeCell ref="O4:O5"/>
    <mergeCell ref="P4:P5"/>
    <mergeCell ref="Q4:R4"/>
    <mergeCell ref="G4:G5"/>
    <mergeCell ref="H4:H5"/>
    <mergeCell ref="I4:I5"/>
    <mergeCell ref="K4:L4"/>
    <mergeCell ref="M4:M5"/>
    <mergeCell ref="N4:N5"/>
    <mergeCell ref="A4:A5"/>
    <mergeCell ref="B4:B5"/>
    <mergeCell ref="C4:C5"/>
    <mergeCell ref="D4:D5"/>
    <mergeCell ref="E4:E5"/>
    <mergeCell ref="S2:S3"/>
    <mergeCell ref="S4:S5"/>
    <mergeCell ref="F4:F5"/>
    <mergeCell ref="A2:D2"/>
    <mergeCell ref="J2:N2"/>
    <mergeCell ref="J3:N3"/>
    <mergeCell ref="J4:J5"/>
  </mergeCells>
  <pageMargins left="0.25" right="0.25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="70" zoomScaleNormal="70" workbookViewId="0">
      <selection activeCell="K15" sqref="K15:K38"/>
    </sheetView>
  </sheetViews>
  <sheetFormatPr defaultRowHeight="15" x14ac:dyDescent="0.25"/>
  <cols>
    <col min="1" max="1" width="13.8554687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2.28515625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26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37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37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20.100000000000001" hidden="1" customHeight="1" x14ac:dyDescent="0.25">
      <c r="A7" s="23">
        <v>44805</v>
      </c>
      <c r="B7" s="121">
        <v>11231.77</v>
      </c>
      <c r="C7" s="121">
        <v>3343.52</v>
      </c>
      <c r="D7" s="24" t="s">
        <v>19</v>
      </c>
      <c r="E7" s="121" t="s">
        <v>23</v>
      </c>
      <c r="F7" s="135"/>
      <c r="G7" s="135"/>
      <c r="H7" s="135"/>
      <c r="I7" s="135"/>
      <c r="J7" s="144"/>
      <c r="K7" s="111" t="s">
        <v>65</v>
      </c>
      <c r="L7" s="113">
        <v>3344</v>
      </c>
      <c r="M7" s="159"/>
      <c r="N7" s="159"/>
      <c r="O7" s="178">
        <v>3360.5079999999998</v>
      </c>
      <c r="P7" s="130">
        <f>O7*P2</f>
        <v>14786.235200000001</v>
      </c>
      <c r="Q7" s="182">
        <v>0</v>
      </c>
      <c r="R7" s="182"/>
      <c r="S7" s="158">
        <v>0</v>
      </c>
    </row>
    <row r="8" spans="1:19" ht="20.100000000000001" hidden="1" customHeight="1" x14ac:dyDescent="0.25">
      <c r="A8" s="23">
        <v>44805</v>
      </c>
      <c r="B8" s="122"/>
      <c r="C8" s="122"/>
      <c r="D8" s="24" t="s">
        <v>20</v>
      </c>
      <c r="E8" s="122"/>
      <c r="F8" s="136"/>
      <c r="G8" s="136"/>
      <c r="H8" s="136"/>
      <c r="I8" s="136"/>
      <c r="J8" s="145"/>
      <c r="K8" s="112"/>
      <c r="L8" s="114"/>
      <c r="M8" s="160"/>
      <c r="N8" s="160"/>
      <c r="O8" s="179"/>
      <c r="P8" s="131"/>
      <c r="Q8" s="183"/>
      <c r="R8" s="183"/>
      <c r="S8" s="158"/>
    </row>
    <row r="9" spans="1:19" ht="20.100000000000001" hidden="1" customHeight="1" x14ac:dyDescent="0.25">
      <c r="A9" s="23">
        <v>44835</v>
      </c>
      <c r="B9" s="121">
        <v>11231.77</v>
      </c>
      <c r="C9" s="121">
        <v>3343.52</v>
      </c>
      <c r="D9" s="24" t="s">
        <v>19</v>
      </c>
      <c r="E9" s="121" t="s">
        <v>23</v>
      </c>
      <c r="F9" s="135">
        <f>11108.8+5738</f>
        <v>16846.8</v>
      </c>
      <c r="G9" s="135">
        <f>18439+1370+334</f>
        <v>20143</v>
      </c>
      <c r="H9" s="135">
        <f>15+41+15+15+15+15</f>
        <v>116</v>
      </c>
      <c r="I9" s="135">
        <f>F9-(G9+H9)</f>
        <v>-3412.2000000000007</v>
      </c>
      <c r="J9" s="144">
        <f>I9</f>
        <v>-3412.2000000000007</v>
      </c>
      <c r="K9" s="111" t="s">
        <v>64</v>
      </c>
      <c r="L9" s="113">
        <v>0</v>
      </c>
      <c r="M9" s="115"/>
      <c r="N9" s="115"/>
      <c r="O9" s="178">
        <v>3360.5079999999998</v>
      </c>
      <c r="P9" s="130">
        <f>O9*P2</f>
        <v>14786.235200000001</v>
      </c>
      <c r="Q9" s="182">
        <f>O9</f>
        <v>3360.5079999999998</v>
      </c>
      <c r="R9" s="182"/>
      <c r="S9" s="158">
        <f>-(Q9*P2)</f>
        <v>-14786.235200000001</v>
      </c>
    </row>
    <row r="10" spans="1:19" ht="20.100000000000001" hidden="1" customHeight="1" x14ac:dyDescent="0.25">
      <c r="A10" s="23">
        <v>44835</v>
      </c>
      <c r="B10" s="122"/>
      <c r="C10" s="122"/>
      <c r="D10" s="24" t="s">
        <v>20</v>
      </c>
      <c r="E10" s="122"/>
      <c r="F10" s="136"/>
      <c r="G10" s="136"/>
      <c r="H10" s="136"/>
      <c r="I10" s="136"/>
      <c r="J10" s="145"/>
      <c r="K10" s="112"/>
      <c r="L10" s="114"/>
      <c r="M10" s="116"/>
      <c r="N10" s="116"/>
      <c r="O10" s="179"/>
      <c r="P10" s="131"/>
      <c r="Q10" s="183"/>
      <c r="R10" s="183"/>
      <c r="S10" s="158"/>
    </row>
    <row r="11" spans="1:19" ht="15.75" hidden="1" customHeight="1" x14ac:dyDescent="0.25">
      <c r="A11" s="23">
        <v>44866</v>
      </c>
      <c r="B11" s="121">
        <v>11231.77</v>
      </c>
      <c r="C11" s="121">
        <v>3343.52</v>
      </c>
      <c r="D11" s="24" t="s">
        <v>19</v>
      </c>
      <c r="E11" s="121" t="s">
        <v>23</v>
      </c>
      <c r="F11" s="135">
        <f>11954.4+10976</f>
        <v>22930.400000000001</v>
      </c>
      <c r="G11" s="135">
        <f>16527+1230+322</f>
        <v>18079</v>
      </c>
      <c r="H11" s="135">
        <f>15+41+15+15+15+15</f>
        <v>116</v>
      </c>
      <c r="I11" s="135">
        <f>F11-(G11+H11)</f>
        <v>4735.4000000000015</v>
      </c>
      <c r="J11" s="144">
        <v>1323</v>
      </c>
      <c r="K11" s="127" t="s">
        <v>66</v>
      </c>
      <c r="L11" s="119">
        <v>1323</v>
      </c>
      <c r="M11" s="121"/>
      <c r="N11" s="121"/>
      <c r="O11" s="178">
        <v>3360.5079999999998</v>
      </c>
      <c r="P11" s="125">
        <f>O11*P2</f>
        <v>14786.235200000001</v>
      </c>
      <c r="Q11" s="180">
        <f>O11-J11</f>
        <v>2037.5079999999998</v>
      </c>
      <c r="R11" s="180"/>
      <c r="S11" s="158">
        <f>-(Q11*P2)</f>
        <v>-8965.0352000000003</v>
      </c>
    </row>
    <row r="12" spans="1:19" ht="15.75" hidden="1" customHeight="1" x14ac:dyDescent="0.25">
      <c r="A12" s="23">
        <v>44866</v>
      </c>
      <c r="B12" s="122"/>
      <c r="C12" s="122"/>
      <c r="D12" s="24" t="s">
        <v>20</v>
      </c>
      <c r="E12" s="122"/>
      <c r="F12" s="136"/>
      <c r="G12" s="136"/>
      <c r="H12" s="136"/>
      <c r="I12" s="136"/>
      <c r="J12" s="145"/>
      <c r="K12" s="128"/>
      <c r="L12" s="120"/>
      <c r="M12" s="122"/>
      <c r="N12" s="122"/>
      <c r="O12" s="179"/>
      <c r="P12" s="126"/>
      <c r="Q12" s="181"/>
      <c r="R12" s="181"/>
      <c r="S12" s="158"/>
    </row>
    <row r="13" spans="1:19" ht="15.75" hidden="1" customHeight="1" x14ac:dyDescent="0.25">
      <c r="A13" s="23">
        <v>44896</v>
      </c>
      <c r="B13" s="121">
        <v>11231.77</v>
      </c>
      <c r="C13" s="121">
        <v>3343.52</v>
      </c>
      <c r="D13" s="24" t="s">
        <v>19</v>
      </c>
      <c r="E13" s="121" t="s">
        <v>23</v>
      </c>
      <c r="F13" s="135">
        <f>11854+10315</f>
        <v>22169</v>
      </c>
      <c r="G13" s="135">
        <f>18826+1112+363</f>
        <v>20301</v>
      </c>
      <c r="H13" s="135">
        <f>15+89+15+15+15+15</f>
        <v>164</v>
      </c>
      <c r="I13" s="135">
        <f>F13-(G13+H13)</f>
        <v>1704</v>
      </c>
      <c r="J13" s="144">
        <v>1704</v>
      </c>
      <c r="K13" s="127" t="s">
        <v>67</v>
      </c>
      <c r="L13" s="119">
        <v>1704</v>
      </c>
      <c r="M13" s="121"/>
      <c r="N13" s="121"/>
      <c r="O13" s="178">
        <v>3360.5079999999998</v>
      </c>
      <c r="P13" s="125">
        <f>O13*P3</f>
        <v>16096.83332</v>
      </c>
      <c r="Q13" s="180">
        <f>O13-I13</f>
        <v>1656.5079999999998</v>
      </c>
      <c r="R13" s="180"/>
      <c r="S13" s="158">
        <f>-(Q13*P3)</f>
        <v>-7934.673319999999</v>
      </c>
    </row>
    <row r="14" spans="1:19" ht="15.75" hidden="1" customHeight="1" x14ac:dyDescent="0.25">
      <c r="A14" s="23">
        <v>44896</v>
      </c>
      <c r="B14" s="122"/>
      <c r="C14" s="122"/>
      <c r="D14" s="24" t="s">
        <v>20</v>
      </c>
      <c r="E14" s="122"/>
      <c r="F14" s="136"/>
      <c r="G14" s="136"/>
      <c r="H14" s="136"/>
      <c r="I14" s="136"/>
      <c r="J14" s="145"/>
      <c r="K14" s="128"/>
      <c r="L14" s="120"/>
      <c r="M14" s="122"/>
      <c r="N14" s="122"/>
      <c r="O14" s="179"/>
      <c r="P14" s="126"/>
      <c r="Q14" s="181"/>
      <c r="R14" s="181"/>
      <c r="S14" s="158"/>
    </row>
    <row r="15" spans="1:19" ht="15.75" customHeight="1" x14ac:dyDescent="0.25">
      <c r="A15" s="75">
        <v>44927</v>
      </c>
      <c r="B15" s="153">
        <v>11232.77</v>
      </c>
      <c r="C15" s="153">
        <v>3344.52</v>
      </c>
      <c r="D15" s="77" t="s">
        <v>19</v>
      </c>
      <c r="E15" s="153" t="s">
        <v>23</v>
      </c>
      <c r="F15" s="155">
        <f>18505.2+11570</f>
        <v>30075.200000000001</v>
      </c>
      <c r="G15" s="155">
        <f>19448+1216+389</f>
        <v>21053</v>
      </c>
      <c r="H15" s="155">
        <f>15+89+15+15+15+15</f>
        <v>164</v>
      </c>
      <c r="I15" s="155">
        <f>F15-(G15+H15)</f>
        <v>8858.2000000000007</v>
      </c>
      <c r="J15" s="155">
        <f>I15</f>
        <v>8858.2000000000007</v>
      </c>
      <c r="K15" s="149" t="s">
        <v>80</v>
      </c>
      <c r="L15" s="151">
        <f>IF(J15&lt;0,0,I15)</f>
        <v>8858.2000000000007</v>
      </c>
      <c r="M15" s="164"/>
      <c r="N15" s="164"/>
      <c r="O15" s="176">
        <v>3360.5079999999998</v>
      </c>
      <c r="P15" s="168">
        <f>O15*P3</f>
        <v>16096.83332</v>
      </c>
      <c r="Q15" s="170"/>
      <c r="R15" s="161">
        <f>J15-O15</f>
        <v>5497.6920000000009</v>
      </c>
      <c r="S15" s="163">
        <f>R15*P3</f>
        <v>26333.944680000004</v>
      </c>
    </row>
    <row r="16" spans="1:19" ht="15.75" customHeight="1" x14ac:dyDescent="0.25">
      <c r="A16" s="75">
        <v>44927</v>
      </c>
      <c r="B16" s="154"/>
      <c r="C16" s="154"/>
      <c r="D16" s="77" t="s">
        <v>20</v>
      </c>
      <c r="E16" s="154"/>
      <c r="F16" s="156"/>
      <c r="G16" s="156"/>
      <c r="H16" s="156"/>
      <c r="I16" s="156"/>
      <c r="J16" s="156"/>
      <c r="K16" s="150"/>
      <c r="L16" s="152"/>
      <c r="M16" s="165"/>
      <c r="N16" s="165"/>
      <c r="O16" s="177"/>
      <c r="P16" s="169"/>
      <c r="Q16" s="152"/>
      <c r="R16" s="162"/>
      <c r="S16" s="163"/>
    </row>
    <row r="17" spans="1:19" ht="15.75" customHeight="1" x14ac:dyDescent="0.25">
      <c r="A17" s="75">
        <v>44958</v>
      </c>
      <c r="B17" s="153">
        <v>11233.77</v>
      </c>
      <c r="C17" s="153">
        <v>3345.52</v>
      </c>
      <c r="D17" s="77" t="s">
        <v>19</v>
      </c>
      <c r="E17" s="153" t="s">
        <v>23</v>
      </c>
      <c r="F17" s="155">
        <f>3564+7926.4</f>
        <v>11490.4</v>
      </c>
      <c r="G17" s="155">
        <f>16208+713-13</f>
        <v>16908</v>
      </c>
      <c r="H17" s="155">
        <f>15+89+15+15+15+15</f>
        <v>164</v>
      </c>
      <c r="I17" s="155">
        <f t="shared" ref="I17" si="0">F17-(G17+H17)</f>
        <v>-5581.6</v>
      </c>
      <c r="J17" s="155">
        <f>I17</f>
        <v>-5581.6</v>
      </c>
      <c r="K17" s="149"/>
      <c r="L17" s="151">
        <f t="shared" ref="L17" si="1">IF(J17&lt;0,0,I17)</f>
        <v>0</v>
      </c>
      <c r="M17" s="164"/>
      <c r="N17" s="164"/>
      <c r="O17" s="176">
        <v>3360.5079999999998</v>
      </c>
      <c r="P17" s="168">
        <f>O17*P3</f>
        <v>16096.83332</v>
      </c>
      <c r="Q17" s="170">
        <f>L17-O17</f>
        <v>-3360.5079999999998</v>
      </c>
      <c r="R17" s="161"/>
      <c r="S17" s="163">
        <f>Q17*P3</f>
        <v>-16096.83332</v>
      </c>
    </row>
    <row r="18" spans="1:19" ht="15.75" customHeight="1" x14ac:dyDescent="0.25">
      <c r="A18" s="75">
        <v>44958</v>
      </c>
      <c r="B18" s="154"/>
      <c r="C18" s="154"/>
      <c r="D18" s="77" t="s">
        <v>20</v>
      </c>
      <c r="E18" s="154"/>
      <c r="F18" s="156"/>
      <c r="G18" s="156"/>
      <c r="H18" s="156"/>
      <c r="I18" s="156"/>
      <c r="J18" s="156"/>
      <c r="K18" s="150"/>
      <c r="L18" s="152"/>
      <c r="M18" s="165"/>
      <c r="N18" s="165"/>
      <c r="O18" s="177"/>
      <c r="P18" s="169"/>
      <c r="Q18" s="152"/>
      <c r="R18" s="162"/>
      <c r="S18" s="163"/>
    </row>
    <row r="19" spans="1:19" ht="15.75" customHeight="1" x14ac:dyDescent="0.25">
      <c r="A19" s="75">
        <v>44986</v>
      </c>
      <c r="B19" s="153">
        <v>11234.77</v>
      </c>
      <c r="C19" s="153">
        <v>3346.52</v>
      </c>
      <c r="D19" s="77" t="s">
        <v>19</v>
      </c>
      <c r="E19" s="153" t="s">
        <v>23</v>
      </c>
      <c r="F19" s="155">
        <f>13571.6+12368.4</f>
        <v>25940</v>
      </c>
      <c r="G19" s="155">
        <f>18703+1132+270</f>
        <v>20105</v>
      </c>
      <c r="H19" s="155">
        <f>15+89+15+15+15+15</f>
        <v>164</v>
      </c>
      <c r="I19" s="155">
        <f t="shared" ref="I19" si="2">F19-(G19+H19)</f>
        <v>5671</v>
      </c>
      <c r="J19" s="155">
        <f>I19+J17</f>
        <v>89.399999999999636</v>
      </c>
      <c r="K19" s="149" t="s">
        <v>81</v>
      </c>
      <c r="L19" s="151">
        <f>J19</f>
        <v>89.399999999999636</v>
      </c>
      <c r="M19" s="164"/>
      <c r="N19" s="164"/>
      <c r="O19" s="176">
        <v>3360.5079999999998</v>
      </c>
      <c r="P19" s="168">
        <f>O19*P3</f>
        <v>16096.83332</v>
      </c>
      <c r="Q19" s="170">
        <f t="shared" ref="Q19" si="3">L19-O19</f>
        <v>-3271.1080000000002</v>
      </c>
      <c r="R19" s="161"/>
      <c r="S19" s="163">
        <f>Q19*P3</f>
        <v>-15668.607320000001</v>
      </c>
    </row>
    <row r="20" spans="1:19" ht="15.75" customHeight="1" x14ac:dyDescent="0.25">
      <c r="A20" s="75">
        <v>44986</v>
      </c>
      <c r="B20" s="154"/>
      <c r="C20" s="154"/>
      <c r="D20" s="77" t="s">
        <v>20</v>
      </c>
      <c r="E20" s="154"/>
      <c r="F20" s="156"/>
      <c r="G20" s="156"/>
      <c r="H20" s="156"/>
      <c r="I20" s="156"/>
      <c r="J20" s="156"/>
      <c r="K20" s="150"/>
      <c r="L20" s="152"/>
      <c r="M20" s="165"/>
      <c r="N20" s="165"/>
      <c r="O20" s="177"/>
      <c r="P20" s="169"/>
      <c r="Q20" s="152"/>
      <c r="R20" s="162"/>
      <c r="S20" s="163"/>
    </row>
    <row r="21" spans="1:19" ht="15.75" customHeight="1" x14ac:dyDescent="0.25">
      <c r="A21" s="75">
        <v>45017</v>
      </c>
      <c r="B21" s="153">
        <v>11235.77</v>
      </c>
      <c r="C21" s="153">
        <v>3347.52</v>
      </c>
      <c r="D21" s="77" t="s">
        <v>19</v>
      </c>
      <c r="E21" s="153" t="s">
        <v>23</v>
      </c>
      <c r="F21" s="155">
        <f>10903+9287.8</f>
        <v>20190.8</v>
      </c>
      <c r="G21" s="155">
        <f>17863+1030+377</f>
        <v>19270</v>
      </c>
      <c r="H21" s="155">
        <f>15+89+15+15+15+15</f>
        <v>164</v>
      </c>
      <c r="I21" s="155">
        <f t="shared" ref="I21" si="4">F21-(G21+H21)</f>
        <v>756.79999999999927</v>
      </c>
      <c r="J21" s="155">
        <f t="shared" ref="J21" si="5">I21</f>
        <v>756.79999999999927</v>
      </c>
      <c r="K21" s="149" t="s">
        <v>82</v>
      </c>
      <c r="L21" s="151">
        <f t="shared" ref="L21" si="6">IF(J21&lt;0,0,I21)</f>
        <v>756.79999999999927</v>
      </c>
      <c r="M21" s="164"/>
      <c r="N21" s="164"/>
      <c r="O21" s="176">
        <v>3360.5079999999998</v>
      </c>
      <c r="P21" s="168">
        <f>O21*P3</f>
        <v>16096.83332</v>
      </c>
      <c r="Q21" s="170">
        <f t="shared" ref="Q21" si="7">L21-O21</f>
        <v>-2603.7080000000005</v>
      </c>
      <c r="R21" s="161"/>
      <c r="S21" s="163">
        <f>Q21*P3</f>
        <v>-12471.761320000003</v>
      </c>
    </row>
    <row r="22" spans="1:19" ht="15.75" customHeight="1" x14ac:dyDescent="0.25">
      <c r="A22" s="75">
        <v>45017</v>
      </c>
      <c r="B22" s="154"/>
      <c r="C22" s="154"/>
      <c r="D22" s="77" t="s">
        <v>20</v>
      </c>
      <c r="E22" s="154"/>
      <c r="F22" s="156"/>
      <c r="G22" s="156"/>
      <c r="H22" s="156"/>
      <c r="I22" s="156"/>
      <c r="J22" s="156"/>
      <c r="K22" s="150"/>
      <c r="L22" s="152"/>
      <c r="M22" s="165"/>
      <c r="N22" s="165"/>
      <c r="O22" s="177"/>
      <c r="P22" s="169"/>
      <c r="Q22" s="152"/>
      <c r="R22" s="162"/>
      <c r="S22" s="163"/>
    </row>
    <row r="23" spans="1:19" ht="15.75" customHeight="1" x14ac:dyDescent="0.25">
      <c r="A23" s="75">
        <v>45047</v>
      </c>
      <c r="B23" s="153">
        <v>11236.77</v>
      </c>
      <c r="C23" s="153">
        <v>3348.52</v>
      </c>
      <c r="D23" s="77" t="s">
        <v>19</v>
      </c>
      <c r="E23" s="153" t="s">
        <v>23</v>
      </c>
      <c r="F23" s="155">
        <f>12212.8+10595.2</f>
        <v>22808</v>
      </c>
      <c r="G23" s="155">
        <f>24744+1465+784</f>
        <v>26993</v>
      </c>
      <c r="H23" s="155">
        <f>15+89+15+15+15+15</f>
        <v>164</v>
      </c>
      <c r="I23" s="155">
        <f t="shared" ref="I23" si="8">F23-(G23+H23)</f>
        <v>-4349</v>
      </c>
      <c r="J23" s="155">
        <f t="shared" ref="J23" si="9">I23</f>
        <v>-4349</v>
      </c>
      <c r="K23" s="149" t="s">
        <v>83</v>
      </c>
      <c r="L23" s="151">
        <f t="shared" ref="L23" si="10">IF(J23&lt;0,0,I23)</f>
        <v>0</v>
      </c>
      <c r="M23" s="164"/>
      <c r="N23" s="164"/>
      <c r="O23" s="176">
        <v>3360.5079999999998</v>
      </c>
      <c r="P23" s="168">
        <f>O23*P3</f>
        <v>16096.83332</v>
      </c>
      <c r="Q23" s="170">
        <f t="shared" ref="Q23" si="11">L23-O23</f>
        <v>-3360.5079999999998</v>
      </c>
      <c r="R23" s="161"/>
      <c r="S23" s="163">
        <f>Q23*P3</f>
        <v>-16096.83332</v>
      </c>
    </row>
    <row r="24" spans="1:19" ht="15.75" customHeight="1" x14ac:dyDescent="0.25">
      <c r="A24" s="75">
        <v>45047</v>
      </c>
      <c r="B24" s="154"/>
      <c r="C24" s="154"/>
      <c r="D24" s="77" t="s">
        <v>20</v>
      </c>
      <c r="E24" s="154"/>
      <c r="F24" s="156"/>
      <c r="G24" s="156"/>
      <c r="H24" s="156"/>
      <c r="I24" s="156"/>
      <c r="J24" s="156"/>
      <c r="K24" s="150"/>
      <c r="L24" s="152"/>
      <c r="M24" s="165"/>
      <c r="N24" s="165"/>
      <c r="O24" s="177"/>
      <c r="P24" s="169"/>
      <c r="Q24" s="152"/>
      <c r="R24" s="162"/>
      <c r="S24" s="163"/>
    </row>
    <row r="25" spans="1:19" ht="15.75" customHeight="1" x14ac:dyDescent="0.25">
      <c r="A25" s="75">
        <v>45078</v>
      </c>
      <c r="B25" s="153">
        <v>11237.77</v>
      </c>
      <c r="C25" s="153">
        <v>3349.52</v>
      </c>
      <c r="D25" s="77" t="s">
        <v>19</v>
      </c>
      <c r="E25" s="153" t="s">
        <v>23</v>
      </c>
      <c r="F25" s="155">
        <f>11234.2+10468.4</f>
        <v>21702.6</v>
      </c>
      <c r="G25" s="155">
        <f>13623+1166+407</f>
        <v>15196</v>
      </c>
      <c r="H25" s="155">
        <f t="shared" ref="H25" si="12">15+89+15+15+15+15</f>
        <v>164</v>
      </c>
      <c r="I25" s="155">
        <f t="shared" ref="I25" si="13">F25-(G25+H25)</f>
        <v>6342.5999999999985</v>
      </c>
      <c r="J25" s="155">
        <f>I25+J23-1</f>
        <v>1992.5999999999985</v>
      </c>
      <c r="K25" s="149" t="s">
        <v>84</v>
      </c>
      <c r="L25" s="151">
        <f>J25</f>
        <v>1992.5999999999985</v>
      </c>
      <c r="M25" s="164"/>
      <c r="N25" s="164"/>
      <c r="O25" s="176">
        <v>3360.5079999999998</v>
      </c>
      <c r="P25" s="168">
        <f>O25*P3</f>
        <v>16096.83332</v>
      </c>
      <c r="Q25" s="170">
        <f t="shared" ref="Q25" si="14">L25-O25</f>
        <v>-1367.9080000000013</v>
      </c>
      <c r="R25" s="161"/>
      <c r="S25" s="163">
        <f>Q25*P3</f>
        <v>-6552.279320000006</v>
      </c>
    </row>
    <row r="26" spans="1:19" ht="15.75" customHeight="1" x14ac:dyDescent="0.25">
      <c r="A26" s="75">
        <v>45078</v>
      </c>
      <c r="B26" s="154"/>
      <c r="C26" s="154"/>
      <c r="D26" s="77" t="s">
        <v>20</v>
      </c>
      <c r="E26" s="154"/>
      <c r="F26" s="156"/>
      <c r="G26" s="156"/>
      <c r="H26" s="156"/>
      <c r="I26" s="156"/>
      <c r="J26" s="156"/>
      <c r="K26" s="150"/>
      <c r="L26" s="152"/>
      <c r="M26" s="165"/>
      <c r="N26" s="165"/>
      <c r="O26" s="177"/>
      <c r="P26" s="169"/>
      <c r="Q26" s="152"/>
      <c r="R26" s="162"/>
      <c r="S26" s="163"/>
    </row>
    <row r="27" spans="1:19" ht="15.75" customHeight="1" x14ac:dyDescent="0.25">
      <c r="A27" s="75">
        <v>45108</v>
      </c>
      <c r="B27" s="153">
        <v>11238.77</v>
      </c>
      <c r="C27" s="153">
        <v>3350.52</v>
      </c>
      <c r="D27" s="77" t="s">
        <v>19</v>
      </c>
      <c r="E27" s="153" t="s">
        <v>23</v>
      </c>
      <c r="F27" s="155">
        <f>9350.2+8519.2</f>
        <v>17869.400000000001</v>
      </c>
      <c r="G27" s="155">
        <f>16254+1051+408</f>
        <v>17713</v>
      </c>
      <c r="H27" s="155">
        <f t="shared" ref="H27" si="15">15+89+15+15+15+15</f>
        <v>164</v>
      </c>
      <c r="I27" s="155">
        <f t="shared" ref="I27" si="16">F27-(G27+H27)</f>
        <v>-7.5999999999985448</v>
      </c>
      <c r="J27" s="155">
        <f t="shared" ref="J27" si="17">I27</f>
        <v>-7.5999999999985448</v>
      </c>
      <c r="K27" s="149" t="s">
        <v>85</v>
      </c>
      <c r="L27" s="151">
        <f t="shared" ref="L27" si="18">IF(J27&lt;0,0,I27)</f>
        <v>0</v>
      </c>
      <c r="M27" s="164"/>
      <c r="N27" s="164"/>
      <c r="O27" s="176">
        <v>3360.5079999999998</v>
      </c>
      <c r="P27" s="168">
        <f>O27*P3</f>
        <v>16096.83332</v>
      </c>
      <c r="Q27" s="170">
        <f t="shared" ref="Q27" si="19">L27-O27</f>
        <v>-3360.5079999999998</v>
      </c>
      <c r="R27" s="161"/>
      <c r="S27" s="163">
        <f>Q27*P3</f>
        <v>-16096.83332</v>
      </c>
    </row>
    <row r="28" spans="1:19" ht="15.75" customHeight="1" x14ac:dyDescent="0.25">
      <c r="A28" s="75">
        <v>45108</v>
      </c>
      <c r="B28" s="154"/>
      <c r="C28" s="154"/>
      <c r="D28" s="77" t="s">
        <v>20</v>
      </c>
      <c r="E28" s="154"/>
      <c r="F28" s="156"/>
      <c r="G28" s="156"/>
      <c r="H28" s="156"/>
      <c r="I28" s="156"/>
      <c r="J28" s="156"/>
      <c r="K28" s="150"/>
      <c r="L28" s="152"/>
      <c r="M28" s="165"/>
      <c r="N28" s="165"/>
      <c r="O28" s="177"/>
      <c r="P28" s="169"/>
      <c r="Q28" s="152"/>
      <c r="R28" s="162"/>
      <c r="S28" s="163"/>
    </row>
    <row r="29" spans="1:19" ht="15.75" customHeight="1" x14ac:dyDescent="0.25">
      <c r="A29" s="75">
        <v>45139</v>
      </c>
      <c r="B29" s="153">
        <v>11239.77</v>
      </c>
      <c r="C29" s="153">
        <v>3351.52</v>
      </c>
      <c r="D29" s="77" t="s">
        <v>19</v>
      </c>
      <c r="E29" s="153" t="s">
        <v>23</v>
      </c>
      <c r="F29" s="155">
        <f>11243.8+10279.6</f>
        <v>21523.4</v>
      </c>
      <c r="G29" s="155">
        <f>16959+872+297</f>
        <v>18128</v>
      </c>
      <c r="H29" s="155">
        <f t="shared" ref="H29" si="20">15+89+15+15+15+15</f>
        <v>164</v>
      </c>
      <c r="I29" s="155">
        <f t="shared" ref="I29" si="21">F29-(G29+H29)</f>
        <v>3231.4000000000015</v>
      </c>
      <c r="J29" s="155">
        <f>I29+J27</f>
        <v>3223.8000000000029</v>
      </c>
      <c r="K29" s="149" t="s">
        <v>86</v>
      </c>
      <c r="L29" s="151">
        <f>J29</f>
        <v>3223.8000000000029</v>
      </c>
      <c r="M29" s="164"/>
      <c r="N29" s="164"/>
      <c r="O29" s="176">
        <v>3360.5079999999998</v>
      </c>
      <c r="P29" s="168">
        <f>O29*P3</f>
        <v>16096.83332</v>
      </c>
      <c r="Q29" s="170">
        <f t="shared" ref="Q29" si="22">L29-O29</f>
        <v>-136.7079999999969</v>
      </c>
      <c r="R29" s="161"/>
      <c r="S29" s="163">
        <f>Q29*P3</f>
        <v>-654.83131999998511</v>
      </c>
    </row>
    <row r="30" spans="1:19" ht="15.75" customHeight="1" x14ac:dyDescent="0.25">
      <c r="A30" s="75">
        <v>45139</v>
      </c>
      <c r="B30" s="154"/>
      <c r="C30" s="154"/>
      <c r="D30" s="77" t="s">
        <v>20</v>
      </c>
      <c r="E30" s="154"/>
      <c r="F30" s="156"/>
      <c r="G30" s="156"/>
      <c r="H30" s="156"/>
      <c r="I30" s="156"/>
      <c r="J30" s="156"/>
      <c r="K30" s="150"/>
      <c r="L30" s="152"/>
      <c r="M30" s="165"/>
      <c r="N30" s="165"/>
      <c r="O30" s="177"/>
      <c r="P30" s="169"/>
      <c r="Q30" s="152"/>
      <c r="R30" s="162"/>
      <c r="S30" s="163"/>
    </row>
    <row r="31" spans="1:19" ht="15.75" customHeight="1" x14ac:dyDescent="0.25">
      <c r="A31" s="75">
        <v>45170</v>
      </c>
      <c r="B31" s="153">
        <v>11240.77</v>
      </c>
      <c r="C31" s="153">
        <v>3352.52</v>
      </c>
      <c r="D31" s="77" t="s">
        <v>19</v>
      </c>
      <c r="E31" s="153" t="s">
        <v>23</v>
      </c>
      <c r="F31" s="155">
        <f>11231.8+5990.4</f>
        <v>17222.199999999997</v>
      </c>
      <c r="G31" s="155">
        <f>16601+1117+374</f>
        <v>18092</v>
      </c>
      <c r="H31" s="155">
        <f t="shared" ref="H31" si="23">15+89+15+15+15+15</f>
        <v>164</v>
      </c>
      <c r="I31" s="155">
        <f>F31-(G31+H31)</f>
        <v>-1033.8000000000029</v>
      </c>
      <c r="J31" s="155">
        <f t="shared" ref="J31" si="24">I31</f>
        <v>-1033.8000000000029</v>
      </c>
      <c r="K31" s="149" t="s">
        <v>87</v>
      </c>
      <c r="L31" s="151">
        <f t="shared" ref="L31" si="25">IF(J31&lt;0,0,I31)</f>
        <v>0</v>
      </c>
      <c r="M31" s="164"/>
      <c r="N31" s="164"/>
      <c r="O31" s="176">
        <v>3360.5079999999998</v>
      </c>
      <c r="P31" s="168">
        <f>O31*P3</f>
        <v>16096.83332</v>
      </c>
      <c r="Q31" s="170">
        <f t="shared" ref="Q31" si="26">L31-O31</f>
        <v>-3360.5079999999998</v>
      </c>
      <c r="R31" s="161"/>
      <c r="S31" s="163">
        <f>Q31*P3</f>
        <v>-16096.83332</v>
      </c>
    </row>
    <row r="32" spans="1:19" ht="15.75" customHeight="1" x14ac:dyDescent="0.25">
      <c r="A32" s="75">
        <v>45170</v>
      </c>
      <c r="B32" s="154"/>
      <c r="C32" s="154"/>
      <c r="D32" s="77" t="s">
        <v>20</v>
      </c>
      <c r="E32" s="154"/>
      <c r="F32" s="156"/>
      <c r="G32" s="156"/>
      <c r="H32" s="156"/>
      <c r="I32" s="156"/>
      <c r="J32" s="156"/>
      <c r="K32" s="150"/>
      <c r="L32" s="152"/>
      <c r="M32" s="165"/>
      <c r="N32" s="165"/>
      <c r="O32" s="177"/>
      <c r="P32" s="169"/>
      <c r="Q32" s="152"/>
      <c r="R32" s="162"/>
      <c r="S32" s="163"/>
    </row>
    <row r="33" spans="1:19" ht="15.75" customHeight="1" x14ac:dyDescent="0.25">
      <c r="A33" s="75">
        <v>45200</v>
      </c>
      <c r="B33" s="153">
        <v>11241.77</v>
      </c>
      <c r="C33" s="153">
        <v>3353.52</v>
      </c>
      <c r="D33" s="77" t="s">
        <v>19</v>
      </c>
      <c r="E33" s="153" t="s">
        <v>23</v>
      </c>
      <c r="F33" s="155">
        <f>12086.8+6579.8</f>
        <v>18666.599999999999</v>
      </c>
      <c r="G33" s="155">
        <f>17992+1079+364</f>
        <v>19435</v>
      </c>
      <c r="H33" s="155">
        <f t="shared" ref="H33" si="27">15+89+15+15+15+15</f>
        <v>164</v>
      </c>
      <c r="I33" s="155">
        <f t="shared" ref="I33" si="28">F33-(G33+H33)</f>
        <v>-932.40000000000146</v>
      </c>
      <c r="J33" s="155">
        <f>I33+J31</f>
        <v>-1966.2000000000044</v>
      </c>
      <c r="K33" s="149" t="s">
        <v>88</v>
      </c>
      <c r="L33" s="151">
        <f t="shared" ref="L33" si="29">IF(J33&lt;0,0,I33)</f>
        <v>0</v>
      </c>
      <c r="M33" s="164"/>
      <c r="N33" s="164"/>
      <c r="O33" s="176">
        <v>3360.5079999999998</v>
      </c>
      <c r="P33" s="168">
        <f>O33*P3</f>
        <v>16096.83332</v>
      </c>
      <c r="Q33" s="170">
        <f t="shared" ref="Q33" si="30">L33-O33</f>
        <v>-3360.5079999999998</v>
      </c>
      <c r="R33" s="161"/>
      <c r="S33" s="163">
        <f>Q33*P3</f>
        <v>-16096.83332</v>
      </c>
    </row>
    <row r="34" spans="1:19" ht="15.75" customHeight="1" x14ac:dyDescent="0.25">
      <c r="A34" s="75">
        <v>45200</v>
      </c>
      <c r="B34" s="154"/>
      <c r="C34" s="154"/>
      <c r="D34" s="77" t="s">
        <v>20</v>
      </c>
      <c r="E34" s="154"/>
      <c r="F34" s="156"/>
      <c r="G34" s="156"/>
      <c r="H34" s="156"/>
      <c r="I34" s="156"/>
      <c r="J34" s="156"/>
      <c r="K34" s="150"/>
      <c r="L34" s="152"/>
      <c r="M34" s="165"/>
      <c r="N34" s="165"/>
      <c r="O34" s="177"/>
      <c r="P34" s="169"/>
      <c r="Q34" s="152"/>
      <c r="R34" s="162"/>
      <c r="S34" s="163"/>
    </row>
    <row r="35" spans="1:19" ht="15.75" customHeight="1" x14ac:dyDescent="0.25">
      <c r="A35" s="75">
        <v>45231</v>
      </c>
      <c r="B35" s="153">
        <v>11242.77</v>
      </c>
      <c r="C35" s="153">
        <v>3354.52</v>
      </c>
      <c r="D35" s="77" t="s">
        <v>19</v>
      </c>
      <c r="E35" s="153" t="s">
        <v>23</v>
      </c>
      <c r="F35" s="155">
        <f>11608.4+11143.2</f>
        <v>22751.599999999999</v>
      </c>
      <c r="G35" s="155">
        <f>17577+1211+362</f>
        <v>19150</v>
      </c>
      <c r="H35" s="155">
        <f t="shared" ref="H35" si="31">15+89+15+15+15+15</f>
        <v>164</v>
      </c>
      <c r="I35" s="155">
        <f t="shared" ref="I35" si="32">F35-(G35+H35)</f>
        <v>3437.5999999999985</v>
      </c>
      <c r="J35" s="155">
        <f>I35+J33+1</f>
        <v>1472.3999999999942</v>
      </c>
      <c r="K35" s="149" t="s">
        <v>89</v>
      </c>
      <c r="L35" s="151">
        <f>J35</f>
        <v>1472.3999999999942</v>
      </c>
      <c r="M35" s="164"/>
      <c r="N35" s="164"/>
      <c r="O35" s="176">
        <v>3360.5079999999998</v>
      </c>
      <c r="P35" s="168">
        <f>O35*R2</f>
        <v>16096.83332</v>
      </c>
      <c r="Q35" s="170">
        <f t="shared" ref="Q35" si="33">L35-O35</f>
        <v>-1888.1080000000056</v>
      </c>
      <c r="R35" s="161"/>
      <c r="S35" s="163">
        <f>Q35*P3</f>
        <v>-9044.0373200000267</v>
      </c>
    </row>
    <row r="36" spans="1:19" ht="15.75" customHeight="1" x14ac:dyDescent="0.25">
      <c r="A36" s="75">
        <v>45231</v>
      </c>
      <c r="B36" s="154"/>
      <c r="C36" s="154"/>
      <c r="D36" s="77" t="s">
        <v>20</v>
      </c>
      <c r="E36" s="154"/>
      <c r="F36" s="156"/>
      <c r="G36" s="156"/>
      <c r="H36" s="156"/>
      <c r="I36" s="156"/>
      <c r="J36" s="156"/>
      <c r="K36" s="150"/>
      <c r="L36" s="152"/>
      <c r="M36" s="165"/>
      <c r="N36" s="165"/>
      <c r="O36" s="177"/>
      <c r="P36" s="169"/>
      <c r="Q36" s="152"/>
      <c r="R36" s="162"/>
      <c r="S36" s="163"/>
    </row>
    <row r="37" spans="1:19" ht="15.75" customHeight="1" x14ac:dyDescent="0.25">
      <c r="A37" s="75">
        <v>45261</v>
      </c>
      <c r="B37" s="153">
        <v>11243.77</v>
      </c>
      <c r="C37" s="153">
        <v>3355.52</v>
      </c>
      <c r="D37" s="77" t="s">
        <v>19</v>
      </c>
      <c r="E37" s="153" t="s">
        <v>23</v>
      </c>
      <c r="F37" s="155">
        <f>11191.4+11193.2</f>
        <v>22384.6</v>
      </c>
      <c r="G37" s="155">
        <f>18092+1274+363</f>
        <v>19729</v>
      </c>
      <c r="H37" s="155">
        <f t="shared" ref="H37" si="34">15+89+15+15+15+15</f>
        <v>164</v>
      </c>
      <c r="I37" s="155">
        <f t="shared" ref="I37" si="35">F37-(G37+H37)</f>
        <v>2491.5999999999985</v>
      </c>
      <c r="J37" s="155">
        <f>I37-1</f>
        <v>2490.5999999999985</v>
      </c>
      <c r="K37" s="149" t="s">
        <v>90</v>
      </c>
      <c r="L37" s="151">
        <f>J37</f>
        <v>2490.5999999999985</v>
      </c>
      <c r="M37" s="164"/>
      <c r="N37" s="164"/>
      <c r="O37" s="176">
        <v>3360.5079999999998</v>
      </c>
      <c r="P37" s="168">
        <f>O37*R2</f>
        <v>16096.83332</v>
      </c>
      <c r="Q37" s="170">
        <f t="shared" ref="Q37" si="36">L37-O37</f>
        <v>-869.90800000000127</v>
      </c>
      <c r="R37" s="161"/>
      <c r="S37" s="163">
        <f>Q37*P3</f>
        <v>-4166.8593200000059</v>
      </c>
    </row>
    <row r="38" spans="1:19" ht="15.75" customHeight="1" x14ac:dyDescent="0.25">
      <c r="A38" s="75">
        <v>45261</v>
      </c>
      <c r="B38" s="154"/>
      <c r="C38" s="154"/>
      <c r="D38" s="77" t="s">
        <v>20</v>
      </c>
      <c r="E38" s="154"/>
      <c r="F38" s="156"/>
      <c r="G38" s="156"/>
      <c r="H38" s="156"/>
      <c r="I38" s="156"/>
      <c r="J38" s="156"/>
      <c r="K38" s="150"/>
      <c r="L38" s="152"/>
      <c r="M38" s="165"/>
      <c r="N38" s="165"/>
      <c r="O38" s="177"/>
      <c r="P38" s="169"/>
      <c r="Q38" s="152"/>
      <c r="R38" s="162"/>
      <c r="S38" s="163"/>
    </row>
    <row r="39" spans="1:19" s="72" customFormat="1" ht="31.5" customHeight="1" x14ac:dyDescent="0.25">
      <c r="A39" s="96"/>
      <c r="L39" s="72">
        <f>SUM(L15:L38)</f>
        <v>18883.799999999996</v>
      </c>
      <c r="O39" s="72">
        <f>SUM(O15:O38)</f>
        <v>40326.096000000012</v>
      </c>
      <c r="P39" s="72">
        <f>SUM(P15:P38)</f>
        <v>193161.99984000003</v>
      </c>
      <c r="R39" s="72">
        <f>SUM(Q15:R38)</f>
        <v>-21442.296000000009</v>
      </c>
      <c r="S39" s="72">
        <f>SUM(S15:S38)</f>
        <v>-102708.59784000003</v>
      </c>
    </row>
    <row r="40" spans="1:19" s="72" customFormat="1" ht="31.5" customHeight="1" x14ac:dyDescent="0.25">
      <c r="A40" s="96"/>
      <c r="L40" s="72">
        <f>L39*P3</f>
        <v>90453.401999999973</v>
      </c>
    </row>
    <row r="41" spans="1:19" s="72" customFormat="1" ht="31.5" customHeight="1" x14ac:dyDescent="0.25">
      <c r="A41" s="96"/>
    </row>
    <row r="42" spans="1:19" s="72" customFormat="1" ht="15.75" customHeight="1" x14ac:dyDescent="0.25">
      <c r="A42" s="96"/>
    </row>
  </sheetData>
  <mergeCells count="294">
    <mergeCell ref="A1:S1"/>
    <mergeCell ref="S4:S5"/>
    <mergeCell ref="S7:S8"/>
    <mergeCell ref="S9:S10"/>
    <mergeCell ref="S11:S12"/>
    <mergeCell ref="H4:H5"/>
    <mergeCell ref="I4:I5"/>
    <mergeCell ref="K4:L4"/>
    <mergeCell ref="M4:M5"/>
    <mergeCell ref="E4:E5"/>
    <mergeCell ref="M7:M8"/>
    <mergeCell ref="N7:N8"/>
    <mergeCell ref="O7:O8"/>
    <mergeCell ref="N4:N5"/>
    <mergeCell ref="O4:O5"/>
    <mergeCell ref="H9:H10"/>
    <mergeCell ref="L7:L8"/>
    <mergeCell ref="O9:O10"/>
    <mergeCell ref="M9:M10"/>
    <mergeCell ref="N9:N10"/>
    <mergeCell ref="H11:H12"/>
    <mergeCell ref="I11:I12"/>
    <mergeCell ref="K11:K12"/>
    <mergeCell ref="J11:J12"/>
    <mergeCell ref="S13:S14"/>
    <mergeCell ref="A2:D2"/>
    <mergeCell ref="A4:A5"/>
    <mergeCell ref="B4:B5"/>
    <mergeCell ref="C4:C5"/>
    <mergeCell ref="D4:D5"/>
    <mergeCell ref="P4:P5"/>
    <mergeCell ref="Q4:R4"/>
    <mergeCell ref="B7:B8"/>
    <mergeCell ref="C7:C8"/>
    <mergeCell ref="E7:E8"/>
    <mergeCell ref="F7:F8"/>
    <mergeCell ref="G7:G8"/>
    <mergeCell ref="H7:H8"/>
    <mergeCell ref="F4:F5"/>
    <mergeCell ref="G4:G5"/>
    <mergeCell ref="Q9:Q10"/>
    <mergeCell ref="R9:R10"/>
    <mergeCell ref="P9:P10"/>
    <mergeCell ref="P7:P8"/>
    <mergeCell ref="Q7:Q8"/>
    <mergeCell ref="I9:I10"/>
    <mergeCell ref="I7:I8"/>
    <mergeCell ref="K7:K8"/>
    <mergeCell ref="B9:B10"/>
    <mergeCell ref="C9:C10"/>
    <mergeCell ref="E9:E10"/>
    <mergeCell ref="F9:F10"/>
    <mergeCell ref="G9:G10"/>
    <mergeCell ref="B11:B12"/>
    <mergeCell ref="C11:C12"/>
    <mergeCell ref="E11:E12"/>
    <mergeCell ref="F11:F12"/>
    <mergeCell ref="G11:G12"/>
    <mergeCell ref="O13:O14"/>
    <mergeCell ref="P13:P14"/>
    <mergeCell ref="Q13:Q14"/>
    <mergeCell ref="R13:R14"/>
    <mergeCell ref="R11:R12"/>
    <mergeCell ref="O11:O12"/>
    <mergeCell ref="J2:N2"/>
    <mergeCell ref="J3:N3"/>
    <mergeCell ref="J13:J14"/>
    <mergeCell ref="M13:M14"/>
    <mergeCell ref="N13:N14"/>
    <mergeCell ref="M11:M12"/>
    <mergeCell ref="N11:N12"/>
    <mergeCell ref="J4:J5"/>
    <mergeCell ref="J7:J8"/>
    <mergeCell ref="K9:K10"/>
    <mergeCell ref="L9:L10"/>
    <mergeCell ref="J9:J10"/>
    <mergeCell ref="K13:K14"/>
    <mergeCell ref="L13:L14"/>
    <mergeCell ref="L11:L12"/>
    <mergeCell ref="R7:R8"/>
    <mergeCell ref="P11:P12"/>
    <mergeCell ref="Q11:Q12"/>
    <mergeCell ref="K15:K16"/>
    <mergeCell ref="L15:L16"/>
    <mergeCell ref="B15:B16"/>
    <mergeCell ref="C15:C16"/>
    <mergeCell ref="E15:E16"/>
    <mergeCell ref="F15:F16"/>
    <mergeCell ref="G15:G16"/>
    <mergeCell ref="B13:B14"/>
    <mergeCell ref="C13:C14"/>
    <mergeCell ref="E13:E14"/>
    <mergeCell ref="F13:F14"/>
    <mergeCell ref="G13:G14"/>
    <mergeCell ref="H13:H14"/>
    <mergeCell ref="I13:I14"/>
    <mergeCell ref="R15:R16"/>
    <mergeCell ref="S15:S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M15:M16"/>
    <mergeCell ref="N15:N16"/>
    <mergeCell ref="O15:O16"/>
    <mergeCell ref="P15:P16"/>
    <mergeCell ref="Q15:Q16"/>
    <mergeCell ref="H15:H16"/>
    <mergeCell ref="I15:I16"/>
    <mergeCell ref="J15:J16"/>
    <mergeCell ref="Q17:Q18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R21:R22"/>
    <mergeCell ref="S21:S22"/>
    <mergeCell ref="P19:P20"/>
    <mergeCell ref="Q19:Q20"/>
    <mergeCell ref="R19:R20"/>
    <mergeCell ref="S19:S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H23:H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L27:L28"/>
    <mergeCell ref="M27:M28"/>
    <mergeCell ref="N27:N28"/>
    <mergeCell ref="O27:O28"/>
    <mergeCell ref="R23:R24"/>
    <mergeCell ref="S23:S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M23:M24"/>
    <mergeCell ref="N23:N24"/>
    <mergeCell ref="O23:O24"/>
    <mergeCell ref="P23:P24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B31:B32"/>
    <mergeCell ref="C31:C32"/>
    <mergeCell ref="E31:E32"/>
    <mergeCell ref="F31:F32"/>
    <mergeCell ref="G31:G32"/>
    <mergeCell ref="O29:O30"/>
    <mergeCell ref="P29:P30"/>
    <mergeCell ref="Q29:Q30"/>
    <mergeCell ref="R29:R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M31:M32"/>
    <mergeCell ref="N31:N32"/>
    <mergeCell ref="O31:O32"/>
    <mergeCell ref="P31:P32"/>
    <mergeCell ref="Q31:Q32"/>
    <mergeCell ref="H31:H32"/>
    <mergeCell ref="I31:I32"/>
    <mergeCell ref="J31:J32"/>
    <mergeCell ref="K31:K32"/>
    <mergeCell ref="L31:L32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L37:L38"/>
    <mergeCell ref="M37:M38"/>
    <mergeCell ref="N37:N38"/>
    <mergeCell ref="Q33:Q34"/>
    <mergeCell ref="R33:R34"/>
    <mergeCell ref="S33:S34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B33:B34"/>
    <mergeCell ref="C33:C34"/>
    <mergeCell ref="E33:E34"/>
    <mergeCell ref="F33:F34"/>
    <mergeCell ref="G33:G34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S2:S3"/>
    <mergeCell ref="O37:O38"/>
    <mergeCell ref="P37:P38"/>
    <mergeCell ref="Q37:Q38"/>
    <mergeCell ref="R37:R38"/>
    <mergeCell ref="S37:S38"/>
    <mergeCell ref="P35:P36"/>
    <mergeCell ref="Q35:Q36"/>
    <mergeCell ref="R35:R36"/>
    <mergeCell ref="S35:S36"/>
    <mergeCell ref="R31:R32"/>
    <mergeCell ref="S31:S32"/>
    <mergeCell ref="S29:S30"/>
    <mergeCell ref="P27:P28"/>
    <mergeCell ref="Q27:Q28"/>
    <mergeCell ref="R27:R28"/>
    <mergeCell ref="S27:S28"/>
    <mergeCell ref="Q25:Q26"/>
    <mergeCell ref="R25:R26"/>
    <mergeCell ref="S25:S26"/>
    <mergeCell ref="Q23:Q24"/>
    <mergeCell ref="O21:O22"/>
    <mergeCell ref="P21:P22"/>
    <mergeCell ref="Q21:Q22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78" zoomScaleNormal="78" workbookViewId="0">
      <selection activeCell="K11" sqref="K11:K2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28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39.75" hidden="1" customHeight="1" x14ac:dyDescent="0.25">
      <c r="A7" s="23">
        <v>44805</v>
      </c>
      <c r="B7" s="13">
        <v>2775.6</v>
      </c>
      <c r="C7" s="13">
        <v>1032.4000000000001</v>
      </c>
      <c r="D7" s="24" t="s">
        <v>21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826</v>
      </c>
      <c r="M7" s="37"/>
      <c r="N7" s="37"/>
      <c r="O7" s="63">
        <v>825.91800000000001</v>
      </c>
      <c r="P7" s="49">
        <f>O7*P2</f>
        <v>3634.0392000000002</v>
      </c>
      <c r="Q7" s="65">
        <v>0</v>
      </c>
      <c r="R7" s="44"/>
      <c r="S7" s="20">
        <v>0</v>
      </c>
    </row>
    <row r="8" spans="1:19" ht="39.75" hidden="1" customHeight="1" x14ac:dyDescent="0.25">
      <c r="A8" s="23">
        <v>44835</v>
      </c>
      <c r="B8" s="13">
        <v>2775.6</v>
      </c>
      <c r="C8" s="13">
        <v>1032.4000000000001</v>
      </c>
      <c r="D8" s="24" t="s">
        <v>21</v>
      </c>
      <c r="E8" s="13" t="s">
        <v>23</v>
      </c>
      <c r="F8" s="14">
        <v>5871.4</v>
      </c>
      <c r="G8" s="14">
        <f>4955+245+86</f>
        <v>5286</v>
      </c>
      <c r="H8" s="14">
        <f t="shared" ref="H8:H22" si="0">5+14+15</f>
        <v>34</v>
      </c>
      <c r="I8" s="14">
        <f>F8-(G8+H8)</f>
        <v>551.39999999999964</v>
      </c>
      <c r="J8" s="35">
        <v>551</v>
      </c>
      <c r="K8" s="39" t="s">
        <v>64</v>
      </c>
      <c r="L8" s="40">
        <v>551</v>
      </c>
      <c r="M8" s="41"/>
      <c r="N8" s="41"/>
      <c r="O8" s="63">
        <v>825.91800000000001</v>
      </c>
      <c r="P8" s="49">
        <f>O8*P2</f>
        <v>3634.0392000000002</v>
      </c>
      <c r="Q8" s="66">
        <f>O8-J8</f>
        <v>274.91800000000001</v>
      </c>
      <c r="R8" s="46"/>
      <c r="S8" s="20">
        <f>-(Q8*P2)</f>
        <v>-1209.6392000000001</v>
      </c>
    </row>
    <row r="9" spans="1:19" ht="39.75" hidden="1" customHeight="1" x14ac:dyDescent="0.25">
      <c r="A9" s="23">
        <v>44866</v>
      </c>
      <c r="B9" s="13">
        <v>2775.6</v>
      </c>
      <c r="C9" s="13">
        <v>1032.4000000000001</v>
      </c>
      <c r="D9" s="24" t="s">
        <v>21</v>
      </c>
      <c r="E9" s="13" t="s">
        <v>23</v>
      </c>
      <c r="F9" s="9">
        <v>6324.88</v>
      </c>
      <c r="G9" s="5">
        <f>5418+258+91</f>
        <v>5767</v>
      </c>
      <c r="H9" s="5">
        <f t="shared" si="0"/>
        <v>34</v>
      </c>
      <c r="I9" s="14">
        <f t="shared" ref="I9:I22" si="1">F9-(G9+H9)</f>
        <v>523.88000000000011</v>
      </c>
      <c r="J9" s="35">
        <v>524</v>
      </c>
      <c r="K9" s="39" t="s">
        <v>66</v>
      </c>
      <c r="L9" s="40">
        <v>524</v>
      </c>
      <c r="M9" s="41"/>
      <c r="N9" s="41"/>
      <c r="O9" s="63">
        <v>825.91800000000001</v>
      </c>
      <c r="P9" s="49">
        <f>O9*P2</f>
        <v>3634.0392000000002</v>
      </c>
      <c r="Q9" s="66">
        <f>O9-J9</f>
        <v>301.91800000000001</v>
      </c>
      <c r="R9" s="46"/>
      <c r="S9" s="20">
        <f>-(Q9*P2)</f>
        <v>-1328.4392</v>
      </c>
    </row>
    <row r="10" spans="1:19" ht="39.75" hidden="1" customHeight="1" x14ac:dyDescent="0.25">
      <c r="A10" s="23">
        <v>44896</v>
      </c>
      <c r="B10" s="5">
        <v>2775.6</v>
      </c>
      <c r="C10" s="5">
        <v>1032.4000000000001</v>
      </c>
      <c r="D10" s="24" t="s">
        <v>21</v>
      </c>
      <c r="E10" s="5" t="s">
        <v>23</v>
      </c>
      <c r="F10" s="5">
        <v>5603</v>
      </c>
      <c r="G10" s="5">
        <f>4766+228+78</f>
        <v>5072</v>
      </c>
      <c r="H10" s="5">
        <f t="shared" si="0"/>
        <v>34</v>
      </c>
      <c r="I10" s="8">
        <f t="shared" si="1"/>
        <v>497</v>
      </c>
      <c r="J10" s="35">
        <v>497</v>
      </c>
      <c r="K10" s="39" t="s">
        <v>67</v>
      </c>
      <c r="L10" s="40">
        <v>497</v>
      </c>
      <c r="M10" s="40"/>
      <c r="N10" s="40"/>
      <c r="O10" s="64">
        <v>825.91800000000001</v>
      </c>
      <c r="P10" s="51"/>
      <c r="Q10" s="66">
        <f>O10-J10</f>
        <v>328.91800000000001</v>
      </c>
      <c r="R10" s="46"/>
      <c r="S10" s="20">
        <f>-(Q10*P3)</f>
        <v>-1575.51722</v>
      </c>
    </row>
    <row r="11" spans="1:19" ht="31.5" customHeight="1" x14ac:dyDescent="0.25">
      <c r="A11" s="75">
        <v>44927</v>
      </c>
      <c r="B11" s="76">
        <v>2775.6</v>
      </c>
      <c r="C11" s="76">
        <v>1032.4000000000001</v>
      </c>
      <c r="D11" s="77" t="s">
        <v>21</v>
      </c>
      <c r="E11" s="76" t="s">
        <v>23</v>
      </c>
      <c r="F11" s="78">
        <v>6450.76</v>
      </c>
      <c r="G11" s="78">
        <f>6129+315+106</f>
        <v>6550</v>
      </c>
      <c r="H11" s="78">
        <f t="shared" si="0"/>
        <v>34</v>
      </c>
      <c r="I11" s="78">
        <f t="shared" si="1"/>
        <v>-133.23999999999978</v>
      </c>
      <c r="J11" s="79">
        <f>I11+133</f>
        <v>-0.23999999999978172</v>
      </c>
      <c r="K11" s="192" t="s">
        <v>80</v>
      </c>
      <c r="L11" s="80">
        <f>IF(J11&lt;0,0,I11)</f>
        <v>0</v>
      </c>
      <c r="M11" s="81"/>
      <c r="N11" s="81"/>
      <c r="O11" s="87">
        <v>825.91800000000001</v>
      </c>
      <c r="P11" s="83">
        <f>O11*P3</f>
        <v>3956.1472199999998</v>
      </c>
      <c r="Q11" s="84">
        <f>L11-O11</f>
        <v>-825.91800000000001</v>
      </c>
      <c r="R11" s="84"/>
      <c r="S11" s="85">
        <f>Q11*P3</f>
        <v>-3956.1472199999998</v>
      </c>
    </row>
    <row r="12" spans="1:19" ht="31.5" customHeight="1" x14ac:dyDescent="0.25">
      <c r="A12" s="75">
        <v>44958</v>
      </c>
      <c r="B12" s="76">
        <v>2775.6</v>
      </c>
      <c r="C12" s="76">
        <v>1032.4000000000001</v>
      </c>
      <c r="D12" s="77" t="s">
        <v>21</v>
      </c>
      <c r="E12" s="76" t="s">
        <v>23</v>
      </c>
      <c r="F12" s="78">
        <v>4350.3599999999997</v>
      </c>
      <c r="G12" s="78">
        <f>5043+244+87</f>
        <v>5374</v>
      </c>
      <c r="H12" s="78">
        <f t="shared" si="0"/>
        <v>34</v>
      </c>
      <c r="I12" s="78">
        <f t="shared" si="1"/>
        <v>-1057.6400000000003</v>
      </c>
      <c r="J12" s="79">
        <f t="shared" ref="J12:J22" si="2">I12</f>
        <v>-1057.6400000000003</v>
      </c>
      <c r="K12" s="192"/>
      <c r="L12" s="80">
        <f t="shared" ref="L12:L22" si="3">IF(J12&lt;0,0,I12)</f>
        <v>0</v>
      </c>
      <c r="M12" s="81"/>
      <c r="N12" s="81"/>
      <c r="O12" s="87">
        <v>825.91800000000001</v>
      </c>
      <c r="P12" s="83">
        <f>O12*P3</f>
        <v>3956.1472199999998</v>
      </c>
      <c r="Q12" s="84">
        <f t="shared" ref="Q12:Q22" si="4">L12-O12</f>
        <v>-825.91800000000001</v>
      </c>
      <c r="R12" s="84"/>
      <c r="S12" s="86">
        <f>Q12*P3</f>
        <v>-3956.1472199999998</v>
      </c>
    </row>
    <row r="13" spans="1:19" ht="31.5" customHeight="1" x14ac:dyDescent="0.25">
      <c r="A13" s="75">
        <v>44986</v>
      </c>
      <c r="B13" s="76">
        <v>2775.6</v>
      </c>
      <c r="C13" s="76">
        <v>1032.4000000000001</v>
      </c>
      <c r="D13" s="77" t="s">
        <v>21</v>
      </c>
      <c r="E13" s="76" t="s">
        <v>23</v>
      </c>
      <c r="F13" s="78">
        <v>6993.76</v>
      </c>
      <c r="G13" s="78">
        <f>5193+254+88</f>
        <v>5535</v>
      </c>
      <c r="H13" s="78">
        <f t="shared" si="0"/>
        <v>34</v>
      </c>
      <c r="I13" s="78">
        <f t="shared" si="1"/>
        <v>1424.7600000000002</v>
      </c>
      <c r="J13" s="79">
        <f>I13+J12</f>
        <v>367.11999999999989</v>
      </c>
      <c r="K13" s="192" t="s">
        <v>81</v>
      </c>
      <c r="L13" s="80">
        <f>J13</f>
        <v>367.11999999999989</v>
      </c>
      <c r="M13" s="81"/>
      <c r="N13" s="81"/>
      <c r="O13" s="87">
        <v>825.91800000000001</v>
      </c>
      <c r="P13" s="83">
        <f>O13*P3</f>
        <v>3956.1472199999998</v>
      </c>
      <c r="Q13" s="84">
        <f t="shared" si="4"/>
        <v>-458.79800000000012</v>
      </c>
      <c r="R13" s="84"/>
      <c r="S13" s="86">
        <f>Q13*P3</f>
        <v>-2197.6424200000006</v>
      </c>
    </row>
    <row r="14" spans="1:19" ht="31.5" customHeight="1" x14ac:dyDescent="0.25">
      <c r="A14" s="75">
        <v>45017</v>
      </c>
      <c r="B14" s="76">
        <v>2775.6</v>
      </c>
      <c r="C14" s="76">
        <v>1032.4000000000001</v>
      </c>
      <c r="D14" s="77" t="s">
        <v>21</v>
      </c>
      <c r="E14" s="76" t="s">
        <v>23</v>
      </c>
      <c r="F14" s="78">
        <v>5721.48</v>
      </c>
      <c r="G14" s="78">
        <f>5596+273+101</f>
        <v>5970</v>
      </c>
      <c r="H14" s="78">
        <f t="shared" si="0"/>
        <v>34</v>
      </c>
      <c r="I14" s="78">
        <f t="shared" si="1"/>
        <v>-282.52000000000044</v>
      </c>
      <c r="J14" s="79">
        <f t="shared" si="2"/>
        <v>-282.52000000000044</v>
      </c>
      <c r="K14" s="192" t="s">
        <v>82</v>
      </c>
      <c r="L14" s="80">
        <f t="shared" si="3"/>
        <v>0</v>
      </c>
      <c r="M14" s="81"/>
      <c r="N14" s="81"/>
      <c r="O14" s="87">
        <v>825.91800000000001</v>
      </c>
      <c r="P14" s="83">
        <f>O14*P3</f>
        <v>3956.1472199999998</v>
      </c>
      <c r="Q14" s="84">
        <f t="shared" si="4"/>
        <v>-825.91800000000001</v>
      </c>
      <c r="R14" s="84"/>
      <c r="S14" s="86">
        <f>Q14*P3</f>
        <v>-3956.1472199999998</v>
      </c>
    </row>
    <row r="15" spans="1:19" ht="31.5" customHeight="1" x14ac:dyDescent="0.25">
      <c r="A15" s="75">
        <v>45047</v>
      </c>
      <c r="B15" s="76">
        <v>2775.6</v>
      </c>
      <c r="C15" s="76">
        <v>1032.4000000000001</v>
      </c>
      <c r="D15" s="77" t="s">
        <v>21</v>
      </c>
      <c r="E15" s="76" t="s">
        <v>23</v>
      </c>
      <c r="F15" s="78">
        <v>6598.36</v>
      </c>
      <c r="G15" s="78">
        <f>5805+267+105</f>
        <v>6177</v>
      </c>
      <c r="H15" s="78">
        <f t="shared" si="0"/>
        <v>34</v>
      </c>
      <c r="I15" s="78">
        <f t="shared" si="1"/>
        <v>387.35999999999967</v>
      </c>
      <c r="J15" s="79">
        <f>I15+J14</f>
        <v>104.83999999999924</v>
      </c>
      <c r="K15" s="192" t="s">
        <v>83</v>
      </c>
      <c r="L15" s="80">
        <f>J15</f>
        <v>104.83999999999924</v>
      </c>
      <c r="M15" s="81"/>
      <c r="N15" s="81"/>
      <c r="O15" s="87">
        <v>825.91800000000001</v>
      </c>
      <c r="P15" s="83">
        <f>O15*P3</f>
        <v>3956.1472199999998</v>
      </c>
      <c r="Q15" s="84">
        <f t="shared" si="4"/>
        <v>-721.07800000000077</v>
      </c>
      <c r="R15" s="84"/>
      <c r="S15" s="86">
        <f>Q15*P3</f>
        <v>-3453.9636200000036</v>
      </c>
    </row>
    <row r="16" spans="1:19" ht="31.5" customHeight="1" x14ac:dyDescent="0.25">
      <c r="A16" s="75">
        <v>45078</v>
      </c>
      <c r="B16" s="76">
        <v>2775.6</v>
      </c>
      <c r="C16" s="76">
        <v>1032.4000000000001</v>
      </c>
      <c r="D16" s="77" t="s">
        <v>21</v>
      </c>
      <c r="E16" s="76" t="s">
        <v>23</v>
      </c>
      <c r="F16" s="78">
        <v>5755.36</v>
      </c>
      <c r="G16" s="78">
        <f>5290+288+76</f>
        <v>5654</v>
      </c>
      <c r="H16" s="78">
        <f t="shared" si="0"/>
        <v>34</v>
      </c>
      <c r="I16" s="78">
        <f t="shared" si="1"/>
        <v>67.359999999999673</v>
      </c>
      <c r="J16" s="79">
        <f t="shared" si="2"/>
        <v>67.359999999999673</v>
      </c>
      <c r="K16" s="192" t="s">
        <v>84</v>
      </c>
      <c r="L16" s="80">
        <f t="shared" si="3"/>
        <v>67.359999999999673</v>
      </c>
      <c r="M16" s="81"/>
      <c r="N16" s="81"/>
      <c r="O16" s="87">
        <v>825.91800000000001</v>
      </c>
      <c r="P16" s="83">
        <f>O16*P3</f>
        <v>3956.1472199999998</v>
      </c>
      <c r="Q16" s="84">
        <f t="shared" si="4"/>
        <v>-758.55800000000033</v>
      </c>
      <c r="R16" s="84"/>
      <c r="S16" s="86">
        <f>Q16*P3</f>
        <v>-3633.4928200000018</v>
      </c>
    </row>
    <row r="17" spans="1:19" ht="31.5" customHeight="1" x14ac:dyDescent="0.25">
      <c r="A17" s="75">
        <v>45108</v>
      </c>
      <c r="B17" s="76">
        <v>2775.6</v>
      </c>
      <c r="C17" s="76">
        <v>1032.4000000000001</v>
      </c>
      <c r="D17" s="77" t="s">
        <v>21</v>
      </c>
      <c r="E17" s="76" t="s">
        <v>23</v>
      </c>
      <c r="F17" s="78">
        <v>4856.04</v>
      </c>
      <c r="G17" s="78">
        <f>4797+203+78</f>
        <v>5078</v>
      </c>
      <c r="H17" s="78">
        <f t="shared" si="0"/>
        <v>34</v>
      </c>
      <c r="I17" s="78">
        <f t="shared" si="1"/>
        <v>-255.96000000000004</v>
      </c>
      <c r="J17" s="79">
        <f t="shared" si="2"/>
        <v>-255.96000000000004</v>
      </c>
      <c r="K17" s="192" t="s">
        <v>85</v>
      </c>
      <c r="L17" s="80">
        <f t="shared" si="3"/>
        <v>0</v>
      </c>
      <c r="M17" s="81"/>
      <c r="N17" s="81"/>
      <c r="O17" s="87">
        <v>825.91800000000001</v>
      </c>
      <c r="P17" s="83">
        <f>O17*P3</f>
        <v>3956.1472199999998</v>
      </c>
      <c r="Q17" s="84">
        <f t="shared" si="4"/>
        <v>-825.91800000000001</v>
      </c>
      <c r="R17" s="84"/>
      <c r="S17" s="86">
        <f>Q17*P3</f>
        <v>-3956.1472199999998</v>
      </c>
    </row>
    <row r="18" spans="1:19" ht="31.5" customHeight="1" x14ac:dyDescent="0.25">
      <c r="A18" s="75">
        <v>45139</v>
      </c>
      <c r="B18" s="76">
        <v>2775.6</v>
      </c>
      <c r="C18" s="76">
        <v>1032.4000000000001</v>
      </c>
      <c r="D18" s="77" t="s">
        <v>21</v>
      </c>
      <c r="E18" s="76" t="s">
        <v>23</v>
      </c>
      <c r="F18" s="78">
        <v>6010.6</v>
      </c>
      <c r="G18" s="78">
        <f>5253+216+79</f>
        <v>5548</v>
      </c>
      <c r="H18" s="78">
        <f t="shared" si="0"/>
        <v>34</v>
      </c>
      <c r="I18" s="78">
        <f t="shared" si="1"/>
        <v>428.60000000000036</v>
      </c>
      <c r="J18" s="79">
        <f>I18+J17</f>
        <v>172.64000000000033</v>
      </c>
      <c r="K18" s="192" t="s">
        <v>86</v>
      </c>
      <c r="L18" s="80">
        <f>J18</f>
        <v>172.64000000000033</v>
      </c>
      <c r="M18" s="81"/>
      <c r="N18" s="81"/>
      <c r="O18" s="87">
        <v>825.91800000000001</v>
      </c>
      <c r="P18" s="83">
        <f>O18*P3</f>
        <v>3956.1472199999998</v>
      </c>
      <c r="Q18" s="84">
        <f t="shared" si="4"/>
        <v>-653.27799999999968</v>
      </c>
      <c r="R18" s="84"/>
      <c r="S18" s="86">
        <f>Q18*P3</f>
        <v>-3129.2016199999985</v>
      </c>
    </row>
    <row r="19" spans="1:19" ht="31.5" customHeight="1" x14ac:dyDescent="0.25">
      <c r="A19" s="75">
        <v>45170</v>
      </c>
      <c r="B19" s="76">
        <v>2775.6</v>
      </c>
      <c r="C19" s="76">
        <v>1032.4000000000001</v>
      </c>
      <c r="D19" s="77" t="s">
        <v>21</v>
      </c>
      <c r="E19" s="76" t="s">
        <v>23</v>
      </c>
      <c r="F19" s="78">
        <v>5769</v>
      </c>
      <c r="G19" s="78">
        <f>5352+220+77</f>
        <v>5649</v>
      </c>
      <c r="H19" s="78">
        <f t="shared" si="0"/>
        <v>34</v>
      </c>
      <c r="I19" s="78">
        <f t="shared" si="1"/>
        <v>86</v>
      </c>
      <c r="J19" s="79">
        <f t="shared" si="2"/>
        <v>86</v>
      </c>
      <c r="K19" s="192" t="s">
        <v>87</v>
      </c>
      <c r="L19" s="80">
        <f t="shared" si="3"/>
        <v>86</v>
      </c>
      <c r="M19" s="81"/>
      <c r="N19" s="81"/>
      <c r="O19" s="87">
        <v>825.91800000000001</v>
      </c>
      <c r="P19" s="83">
        <f>O19*P3</f>
        <v>3956.1472199999998</v>
      </c>
      <c r="Q19" s="84">
        <f t="shared" si="4"/>
        <v>-739.91800000000001</v>
      </c>
      <c r="R19" s="84"/>
      <c r="S19" s="86">
        <f>Q19*P3</f>
        <v>-3544.2072200000002</v>
      </c>
    </row>
    <row r="20" spans="1:19" ht="31.5" customHeight="1" x14ac:dyDescent="0.25">
      <c r="A20" s="75">
        <v>45200</v>
      </c>
      <c r="B20" s="76">
        <v>2775.6</v>
      </c>
      <c r="C20" s="76">
        <v>1032.4000000000001</v>
      </c>
      <c r="D20" s="77" t="s">
        <v>21</v>
      </c>
      <c r="E20" s="76" t="s">
        <v>23</v>
      </c>
      <c r="F20" s="78">
        <v>6315.96</v>
      </c>
      <c r="G20" s="78">
        <f>5605+250+85</f>
        <v>5940</v>
      </c>
      <c r="H20" s="78">
        <f t="shared" si="0"/>
        <v>34</v>
      </c>
      <c r="I20" s="78">
        <f t="shared" si="1"/>
        <v>341.96000000000004</v>
      </c>
      <c r="J20" s="79">
        <f t="shared" si="2"/>
        <v>341.96000000000004</v>
      </c>
      <c r="K20" s="192" t="s">
        <v>88</v>
      </c>
      <c r="L20" s="80">
        <f t="shared" si="3"/>
        <v>341.96000000000004</v>
      </c>
      <c r="M20" s="81"/>
      <c r="N20" s="81"/>
      <c r="O20" s="87">
        <v>825.91800000000001</v>
      </c>
      <c r="P20" s="83">
        <f>O20*P3</f>
        <v>3956.1472199999998</v>
      </c>
      <c r="Q20" s="84">
        <f t="shared" si="4"/>
        <v>-483.95799999999997</v>
      </c>
      <c r="R20" s="84"/>
      <c r="S20" s="86">
        <f>Q20*P3</f>
        <v>-2318.1588199999997</v>
      </c>
    </row>
    <row r="21" spans="1:19" ht="31.5" customHeight="1" x14ac:dyDescent="0.25">
      <c r="A21" s="75">
        <v>45231</v>
      </c>
      <c r="B21" s="76">
        <v>2775.6</v>
      </c>
      <c r="C21" s="76">
        <v>1032.4000000000001</v>
      </c>
      <c r="D21" s="77" t="s">
        <v>21</v>
      </c>
      <c r="E21" s="76" t="s">
        <v>23</v>
      </c>
      <c r="F21" s="78">
        <v>5984.72</v>
      </c>
      <c r="G21" s="78">
        <f>5463+222+77</f>
        <v>5762</v>
      </c>
      <c r="H21" s="78">
        <f t="shared" si="0"/>
        <v>34</v>
      </c>
      <c r="I21" s="78">
        <f t="shared" si="1"/>
        <v>188.72000000000025</v>
      </c>
      <c r="J21" s="79">
        <f t="shared" si="2"/>
        <v>188.72000000000025</v>
      </c>
      <c r="K21" s="192" t="s">
        <v>89</v>
      </c>
      <c r="L21" s="80">
        <f t="shared" si="3"/>
        <v>188.72000000000025</v>
      </c>
      <c r="M21" s="81"/>
      <c r="N21" s="81"/>
      <c r="O21" s="87">
        <v>825.91800000000001</v>
      </c>
      <c r="P21" s="83">
        <f>O21*P3</f>
        <v>3956.1472199999998</v>
      </c>
      <c r="Q21" s="84">
        <f t="shared" si="4"/>
        <v>-637.19799999999975</v>
      </c>
      <c r="R21" s="84"/>
      <c r="S21" s="86">
        <f>Q21*P3</f>
        <v>-3052.1784199999988</v>
      </c>
    </row>
    <row r="22" spans="1:19" ht="31.5" customHeight="1" x14ac:dyDescent="0.25">
      <c r="A22" s="75">
        <v>45261</v>
      </c>
      <c r="B22" s="76">
        <v>2775.6</v>
      </c>
      <c r="C22" s="76">
        <v>1032.4000000000001</v>
      </c>
      <c r="D22" s="77" t="s">
        <v>21</v>
      </c>
      <c r="E22" s="76" t="s">
        <v>23</v>
      </c>
      <c r="F22" s="78">
        <v>5544.24</v>
      </c>
      <c r="G22" s="78">
        <f>4730+244+80</f>
        <v>5054</v>
      </c>
      <c r="H22" s="78">
        <f t="shared" si="0"/>
        <v>34</v>
      </c>
      <c r="I22" s="78">
        <f t="shared" si="1"/>
        <v>456.23999999999978</v>
      </c>
      <c r="J22" s="79">
        <f t="shared" si="2"/>
        <v>456.23999999999978</v>
      </c>
      <c r="K22" s="193" t="s">
        <v>90</v>
      </c>
      <c r="L22" s="80">
        <f t="shared" si="3"/>
        <v>456.23999999999978</v>
      </c>
      <c r="M22" s="81"/>
      <c r="N22" s="81"/>
      <c r="O22" s="87">
        <v>825.91800000000001</v>
      </c>
      <c r="P22" s="83">
        <f>O22*P3</f>
        <v>3956.1472199999998</v>
      </c>
      <c r="Q22" s="84">
        <f t="shared" si="4"/>
        <v>-369.67800000000022</v>
      </c>
      <c r="R22" s="84"/>
      <c r="S22" s="86">
        <f>Q22*P3</f>
        <v>-1770.757620000001</v>
      </c>
    </row>
    <row r="23" spans="1:19" s="72" customFormat="1" ht="31.5" customHeight="1" x14ac:dyDescent="0.25">
      <c r="A23" s="96"/>
      <c r="L23" s="72">
        <f>SUM(L11:L22)</f>
        <v>1784.8799999999992</v>
      </c>
      <c r="O23" s="72">
        <f>SUM(O11:O22)</f>
        <v>9911.0159999999978</v>
      </c>
      <c r="P23" s="72">
        <f>SUM(P11:P22)</f>
        <v>47473.766639999994</v>
      </c>
      <c r="R23" s="72">
        <f>SUM(Q11:R22)</f>
        <v>-8126.1359999999986</v>
      </c>
      <c r="S23" s="72">
        <f>SUM(S11:S22)</f>
        <v>-38924.191440000002</v>
      </c>
    </row>
    <row r="24" spans="1:19" s="72" customFormat="1" ht="31.5" customHeight="1" x14ac:dyDescent="0.25">
      <c r="A24" s="96"/>
      <c r="L24" s="72">
        <f>L23*P3</f>
        <v>8549.5751999999957</v>
      </c>
    </row>
    <row r="25" spans="1:19" ht="31.5" customHeight="1" x14ac:dyDescent="0.25"/>
    <row r="26" spans="1:19" ht="31.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</sheetData>
  <mergeCells count="22">
    <mergeCell ref="A1:S1"/>
    <mergeCell ref="O4:O5"/>
    <mergeCell ref="P4:P5"/>
    <mergeCell ref="Q4:R4"/>
    <mergeCell ref="F4:F5"/>
    <mergeCell ref="G4:G5"/>
    <mergeCell ref="H4:H5"/>
    <mergeCell ref="I4:I5"/>
    <mergeCell ref="K4:L4"/>
    <mergeCell ref="M4:M5"/>
    <mergeCell ref="A2:D2"/>
    <mergeCell ref="A4:A5"/>
    <mergeCell ref="B4:B5"/>
    <mergeCell ref="C4:C5"/>
    <mergeCell ref="D4:D5"/>
    <mergeCell ref="S2:S3"/>
    <mergeCell ref="S4:S5"/>
    <mergeCell ref="E4:E5"/>
    <mergeCell ref="N4:N5"/>
    <mergeCell ref="J2:N2"/>
    <mergeCell ref="J3:N3"/>
    <mergeCell ref="J4:J5"/>
  </mergeCells>
  <pageMargins left="0.25" right="0.25" top="0.75" bottom="0.75" header="0.3" footer="0.3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78" zoomScaleNormal="78" workbookViewId="0">
      <selection activeCell="K11" sqref="K11:K2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29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39.75" hidden="1" customHeight="1" x14ac:dyDescent="0.25">
      <c r="A7" s="23">
        <v>44805</v>
      </c>
      <c r="B7" s="13">
        <v>3907.2</v>
      </c>
      <c r="C7" s="13">
        <v>1147.5</v>
      </c>
      <c r="D7" s="24" t="s">
        <v>30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918</v>
      </c>
      <c r="M7" s="37"/>
      <c r="N7" s="37"/>
      <c r="O7" s="49">
        <v>917.99</v>
      </c>
      <c r="P7" s="49">
        <f>O7*P2</f>
        <v>4039.1560000000004</v>
      </c>
      <c r="Q7" s="44">
        <v>0</v>
      </c>
      <c r="R7" s="37"/>
      <c r="S7" s="20">
        <v>0</v>
      </c>
    </row>
    <row r="8" spans="1:19" ht="39.75" hidden="1" customHeight="1" x14ac:dyDescent="0.25">
      <c r="A8" s="23">
        <v>44835</v>
      </c>
      <c r="B8" s="13">
        <v>3907.2</v>
      </c>
      <c r="C8" s="13">
        <v>1147.5</v>
      </c>
      <c r="D8" s="24" t="s">
        <v>30</v>
      </c>
      <c r="E8" s="13" t="s">
        <v>23</v>
      </c>
      <c r="F8" s="14">
        <v>4894.72</v>
      </c>
      <c r="G8" s="14">
        <f>4615+298+111</f>
        <v>5024</v>
      </c>
      <c r="H8" s="14">
        <f>5+14+15</f>
        <v>34</v>
      </c>
      <c r="I8" s="14">
        <f>F8-(G8+H8)</f>
        <v>-163.27999999999975</v>
      </c>
      <c r="J8" s="35">
        <f>I8</f>
        <v>-163.27999999999975</v>
      </c>
      <c r="K8" s="39" t="s">
        <v>64</v>
      </c>
      <c r="L8" s="46">
        <v>0</v>
      </c>
      <c r="M8" s="41"/>
      <c r="N8" s="41"/>
      <c r="O8" s="57">
        <v>917.99</v>
      </c>
      <c r="P8" s="49">
        <f>O8*P2</f>
        <v>4039.1560000000004</v>
      </c>
      <c r="Q8" s="62">
        <f>O8</f>
        <v>917.99</v>
      </c>
      <c r="R8" s="62"/>
      <c r="S8" s="20">
        <f>-(Q8*P2)</f>
        <v>-4039.1560000000004</v>
      </c>
    </row>
    <row r="9" spans="1:19" ht="39.75" hidden="1" customHeight="1" x14ac:dyDescent="0.25">
      <c r="A9" s="23">
        <v>44866</v>
      </c>
      <c r="B9" s="13">
        <v>3907.2</v>
      </c>
      <c r="C9" s="13">
        <v>1147.5</v>
      </c>
      <c r="D9" s="24" t="s">
        <v>30</v>
      </c>
      <c r="E9" s="13" t="s">
        <v>23</v>
      </c>
      <c r="F9" s="9">
        <v>6625.44</v>
      </c>
      <c r="G9" s="5">
        <f>4740+293+81</f>
        <v>5114</v>
      </c>
      <c r="H9" s="5">
        <f>5+14+15</f>
        <v>34</v>
      </c>
      <c r="I9" s="14">
        <f t="shared" ref="I9:I22" si="0">F9-(G9+H9)</f>
        <v>1477.4399999999996</v>
      </c>
      <c r="J9" s="35">
        <v>1314</v>
      </c>
      <c r="K9" s="39" t="s">
        <v>66</v>
      </c>
      <c r="L9" s="46">
        <v>1477</v>
      </c>
      <c r="M9" s="52">
        <f>R9/C9</f>
        <v>0.34510675381263617</v>
      </c>
      <c r="N9" s="52">
        <f>M9*P2</f>
        <v>1.5184697167755992</v>
      </c>
      <c r="O9" s="57">
        <v>917.99</v>
      </c>
      <c r="P9" s="49">
        <f>O9*P2</f>
        <v>4039.1560000000004</v>
      </c>
      <c r="Q9" s="62"/>
      <c r="R9" s="62">
        <f>J9-O9</f>
        <v>396.01</v>
      </c>
      <c r="S9" s="20">
        <f>R9*P2</f>
        <v>1742.4440000000002</v>
      </c>
    </row>
    <row r="10" spans="1:19" ht="39.75" hidden="1" customHeight="1" x14ac:dyDescent="0.25">
      <c r="A10" s="23">
        <v>44896</v>
      </c>
      <c r="B10" s="5">
        <v>3907.2</v>
      </c>
      <c r="C10" s="5">
        <v>1147.5</v>
      </c>
      <c r="D10" s="24" t="s">
        <v>30</v>
      </c>
      <c r="E10" s="5" t="s">
        <v>23</v>
      </c>
      <c r="F10" s="5">
        <v>6836</v>
      </c>
      <c r="G10" s="5">
        <f>6040+293+81</f>
        <v>6414</v>
      </c>
      <c r="H10" s="5">
        <f>5+14+15</f>
        <v>34</v>
      </c>
      <c r="I10" s="8">
        <f t="shared" si="0"/>
        <v>388</v>
      </c>
      <c r="J10" s="35">
        <f>I10</f>
        <v>388</v>
      </c>
      <c r="K10" s="39" t="s">
        <v>67</v>
      </c>
      <c r="L10" s="46">
        <v>388</v>
      </c>
      <c r="M10" s="40"/>
      <c r="N10" s="40"/>
      <c r="O10" s="51">
        <v>917.99</v>
      </c>
      <c r="P10" s="51">
        <f>O10*P3</f>
        <v>4397.1720999999998</v>
      </c>
      <c r="Q10" s="62">
        <v>529.99</v>
      </c>
      <c r="R10" s="62"/>
      <c r="S10" s="20">
        <f>-(Q10*P3)</f>
        <v>-2538.6521000000002</v>
      </c>
    </row>
    <row r="11" spans="1:19" ht="31.5" customHeight="1" x14ac:dyDescent="0.25">
      <c r="A11" s="75">
        <v>44927</v>
      </c>
      <c r="B11" s="76">
        <v>3907.2</v>
      </c>
      <c r="C11" s="76">
        <v>1147.5</v>
      </c>
      <c r="D11" s="77" t="s">
        <v>30</v>
      </c>
      <c r="E11" s="76" t="s">
        <v>23</v>
      </c>
      <c r="F11" s="78">
        <v>7222.88</v>
      </c>
      <c r="G11" s="78">
        <f>6822+440+145</f>
        <v>7407</v>
      </c>
      <c r="H11" s="78">
        <f>15+5+14</f>
        <v>34</v>
      </c>
      <c r="I11" s="78">
        <f t="shared" si="0"/>
        <v>-218.11999999999989</v>
      </c>
      <c r="J11" s="79">
        <f>I11+218</f>
        <v>-0.11999999999989086</v>
      </c>
      <c r="K11" s="192" t="s">
        <v>80</v>
      </c>
      <c r="L11" s="80">
        <f>IF(J11&lt;0,0,I11)</f>
        <v>0</v>
      </c>
      <c r="M11" s="81"/>
      <c r="N11" s="81"/>
      <c r="O11" s="83">
        <v>917.99</v>
      </c>
      <c r="P11" s="83">
        <f>O11*P3</f>
        <v>4397.1720999999998</v>
      </c>
      <c r="Q11" s="84">
        <f>L11-O11</f>
        <v>-917.99</v>
      </c>
      <c r="R11" s="84"/>
      <c r="S11" s="85">
        <f>Q11*P3</f>
        <v>-4397.1720999999998</v>
      </c>
    </row>
    <row r="12" spans="1:19" ht="31.5" customHeight="1" x14ac:dyDescent="0.25">
      <c r="A12" s="75">
        <v>44958</v>
      </c>
      <c r="B12" s="76">
        <v>3907.2</v>
      </c>
      <c r="C12" s="76">
        <v>1147.5</v>
      </c>
      <c r="D12" s="77" t="s">
        <v>30</v>
      </c>
      <c r="E12" s="76" t="s">
        <v>23</v>
      </c>
      <c r="F12" s="78">
        <v>4921.84</v>
      </c>
      <c r="G12" s="78">
        <f>5082+334+108</f>
        <v>5524</v>
      </c>
      <c r="H12" s="78">
        <f>5+14+15</f>
        <v>34</v>
      </c>
      <c r="I12" s="78">
        <f t="shared" si="0"/>
        <v>-636.15999999999985</v>
      </c>
      <c r="J12" s="79">
        <f t="shared" ref="J12:J22" si="1">I12</f>
        <v>-636.15999999999985</v>
      </c>
      <c r="K12" s="192"/>
      <c r="L12" s="80">
        <f t="shared" ref="L12:L22" si="2">IF(J12&lt;0,0,I12)</f>
        <v>0</v>
      </c>
      <c r="M12" s="81"/>
      <c r="N12" s="81"/>
      <c r="O12" s="83">
        <v>917.99</v>
      </c>
      <c r="P12" s="83">
        <f>O12*P3</f>
        <v>4397.1720999999998</v>
      </c>
      <c r="Q12" s="84">
        <f>L12-O12</f>
        <v>-917.99</v>
      </c>
      <c r="R12" s="84"/>
      <c r="S12" s="85">
        <f>Q12*P3</f>
        <v>-4397.1720999999998</v>
      </c>
    </row>
    <row r="13" spans="1:19" ht="31.5" customHeight="1" x14ac:dyDescent="0.25">
      <c r="A13" s="75">
        <v>44986</v>
      </c>
      <c r="B13" s="76">
        <v>3907.2</v>
      </c>
      <c r="C13" s="76">
        <v>1147.5</v>
      </c>
      <c r="D13" s="77" t="s">
        <v>30</v>
      </c>
      <c r="E13" s="76" t="s">
        <v>23</v>
      </c>
      <c r="F13" s="78">
        <v>7348.48</v>
      </c>
      <c r="G13" s="78">
        <f>5023+311+92</f>
        <v>5426</v>
      </c>
      <c r="H13" s="78">
        <f>5+14+15</f>
        <v>34</v>
      </c>
      <c r="I13" s="78">
        <f t="shared" si="0"/>
        <v>1888.4799999999996</v>
      </c>
      <c r="J13" s="79">
        <f>I13-854</f>
        <v>1034.4799999999996</v>
      </c>
      <c r="K13" s="192" t="s">
        <v>81</v>
      </c>
      <c r="L13" s="80">
        <f t="shared" ref="L13:L21" si="3">J13</f>
        <v>1034.4799999999996</v>
      </c>
      <c r="M13" s="81"/>
      <c r="N13" s="81"/>
      <c r="O13" s="83">
        <v>917.99</v>
      </c>
      <c r="P13" s="83">
        <f>O13*P3</f>
        <v>4397.1720999999998</v>
      </c>
      <c r="Q13" s="84"/>
      <c r="R13" s="84">
        <f>L13-O13</f>
        <v>116.48999999999955</v>
      </c>
      <c r="S13" s="85">
        <f>R13*P3</f>
        <v>557.98709999999789</v>
      </c>
    </row>
    <row r="14" spans="1:19" ht="31.5" customHeight="1" x14ac:dyDescent="0.25">
      <c r="A14" s="75">
        <v>45017</v>
      </c>
      <c r="B14" s="76">
        <v>3907.2</v>
      </c>
      <c r="C14" s="76">
        <v>1147.5</v>
      </c>
      <c r="D14" s="77" t="s">
        <v>30</v>
      </c>
      <c r="E14" s="76" t="s">
        <v>23</v>
      </c>
      <c r="F14" s="78">
        <v>5606.4</v>
      </c>
      <c r="G14" s="78">
        <f>5183+206+75</f>
        <v>5464</v>
      </c>
      <c r="H14" s="78">
        <f>5+14+15</f>
        <v>34</v>
      </c>
      <c r="I14" s="78">
        <f t="shared" si="0"/>
        <v>108.39999999999964</v>
      </c>
      <c r="J14" s="79">
        <f t="shared" si="1"/>
        <v>108.39999999999964</v>
      </c>
      <c r="K14" s="192" t="s">
        <v>82</v>
      </c>
      <c r="L14" s="80">
        <f t="shared" si="3"/>
        <v>108.39999999999964</v>
      </c>
      <c r="M14" s="81"/>
      <c r="N14" s="81"/>
      <c r="O14" s="83">
        <v>917.99</v>
      </c>
      <c r="P14" s="83">
        <f>O14*P3</f>
        <v>4397.1720999999998</v>
      </c>
      <c r="Q14" s="84">
        <f>L14-O14</f>
        <v>-809.59000000000037</v>
      </c>
      <c r="R14" s="84"/>
      <c r="S14" s="85">
        <f>Q14*P3</f>
        <v>-3877.9361000000017</v>
      </c>
    </row>
    <row r="15" spans="1:19" ht="31.5" customHeight="1" x14ac:dyDescent="0.25">
      <c r="A15" s="75">
        <v>45047</v>
      </c>
      <c r="B15" s="76">
        <v>3907.2</v>
      </c>
      <c r="C15" s="76">
        <v>1147.5</v>
      </c>
      <c r="D15" s="77" t="s">
        <v>30</v>
      </c>
      <c r="E15" s="76" t="s">
        <v>23</v>
      </c>
      <c r="F15" s="78">
        <v>6644.56</v>
      </c>
      <c r="G15" s="78">
        <f>5997+480+126</f>
        <v>6603</v>
      </c>
      <c r="H15" s="78">
        <f>5+14+15</f>
        <v>34</v>
      </c>
      <c r="I15" s="78">
        <f t="shared" si="0"/>
        <v>7.5600000000004002</v>
      </c>
      <c r="J15" s="79">
        <f t="shared" si="1"/>
        <v>7.5600000000004002</v>
      </c>
      <c r="K15" s="192" t="s">
        <v>83</v>
      </c>
      <c r="L15" s="80">
        <f t="shared" si="3"/>
        <v>7.5600000000004002</v>
      </c>
      <c r="M15" s="81"/>
      <c r="N15" s="81"/>
      <c r="O15" s="83">
        <v>917.99</v>
      </c>
      <c r="P15" s="83">
        <f>O15*P3</f>
        <v>4397.1720999999998</v>
      </c>
      <c r="Q15" s="84">
        <f>L15-O15</f>
        <v>-910.42999999999961</v>
      </c>
      <c r="R15" s="84"/>
      <c r="S15" s="85">
        <f>Q15*P3</f>
        <v>-4360.9596999999985</v>
      </c>
    </row>
    <row r="16" spans="1:19" ht="31.5" customHeight="1" x14ac:dyDescent="0.25">
      <c r="A16" s="75">
        <v>45078</v>
      </c>
      <c r="B16" s="76">
        <v>3907.2</v>
      </c>
      <c r="C16" s="76">
        <v>1147.5</v>
      </c>
      <c r="D16" s="77" t="s">
        <v>30</v>
      </c>
      <c r="E16" s="76" t="s">
        <v>23</v>
      </c>
      <c r="F16" s="78">
        <v>6514</v>
      </c>
      <c r="G16" s="78">
        <f>4990+330+95</f>
        <v>5415</v>
      </c>
      <c r="H16" s="78">
        <f t="shared" ref="H16:H22" si="4">5+14+15</f>
        <v>34</v>
      </c>
      <c r="I16" s="78">
        <f t="shared" si="0"/>
        <v>1065</v>
      </c>
      <c r="J16" s="79">
        <f t="shared" si="1"/>
        <v>1065</v>
      </c>
      <c r="K16" s="192" t="s">
        <v>84</v>
      </c>
      <c r="L16" s="80">
        <f t="shared" si="3"/>
        <v>1065</v>
      </c>
      <c r="M16" s="81"/>
      <c r="N16" s="81"/>
      <c r="O16" s="83">
        <v>917.99</v>
      </c>
      <c r="P16" s="83">
        <f>O16*P3</f>
        <v>4397.1720999999998</v>
      </c>
      <c r="Q16" s="84"/>
      <c r="R16" s="84">
        <f>L16-O16</f>
        <v>147.01</v>
      </c>
      <c r="S16" s="85">
        <f>R16*P3</f>
        <v>704.17789999999991</v>
      </c>
    </row>
    <row r="17" spans="1:19" ht="31.5" customHeight="1" x14ac:dyDescent="0.25">
      <c r="A17" s="75">
        <v>45108</v>
      </c>
      <c r="B17" s="76">
        <v>3907.2</v>
      </c>
      <c r="C17" s="76">
        <v>1147.5</v>
      </c>
      <c r="D17" s="77" t="s">
        <v>30</v>
      </c>
      <c r="E17" s="76" t="s">
        <v>23</v>
      </c>
      <c r="F17" s="78">
        <v>4991.3599999999997</v>
      </c>
      <c r="G17" s="78">
        <f>4568+129+51</f>
        <v>4748</v>
      </c>
      <c r="H17" s="78">
        <f t="shared" si="4"/>
        <v>34</v>
      </c>
      <c r="I17" s="78">
        <f t="shared" si="0"/>
        <v>209.35999999999967</v>
      </c>
      <c r="J17" s="79">
        <f t="shared" si="1"/>
        <v>209.35999999999967</v>
      </c>
      <c r="K17" s="192" t="s">
        <v>85</v>
      </c>
      <c r="L17" s="80">
        <f t="shared" si="3"/>
        <v>209.35999999999967</v>
      </c>
      <c r="M17" s="81"/>
      <c r="N17" s="81"/>
      <c r="O17" s="83">
        <v>917.99</v>
      </c>
      <c r="P17" s="83">
        <f>O17*P3</f>
        <v>4397.1720999999998</v>
      </c>
      <c r="Q17" s="84">
        <f>L17-O17</f>
        <v>-708.63000000000034</v>
      </c>
      <c r="R17" s="84"/>
      <c r="S17" s="85">
        <f>Q17*P3</f>
        <v>-3394.3377000000019</v>
      </c>
    </row>
    <row r="18" spans="1:19" ht="31.5" customHeight="1" x14ac:dyDescent="0.25">
      <c r="A18" s="75">
        <v>45139</v>
      </c>
      <c r="B18" s="76">
        <v>3907.2</v>
      </c>
      <c r="C18" s="76">
        <v>1147.5</v>
      </c>
      <c r="D18" s="77" t="s">
        <v>30</v>
      </c>
      <c r="E18" s="76" t="s">
        <v>23</v>
      </c>
      <c r="F18" s="78">
        <v>5961.28</v>
      </c>
      <c r="G18" s="78">
        <f>4940+315+93</f>
        <v>5348</v>
      </c>
      <c r="H18" s="78">
        <f t="shared" si="4"/>
        <v>34</v>
      </c>
      <c r="I18" s="78">
        <f t="shared" si="0"/>
        <v>579.27999999999975</v>
      </c>
      <c r="J18" s="79">
        <f t="shared" si="1"/>
        <v>579.27999999999975</v>
      </c>
      <c r="K18" s="192" t="s">
        <v>86</v>
      </c>
      <c r="L18" s="80">
        <f t="shared" si="3"/>
        <v>579.27999999999975</v>
      </c>
      <c r="M18" s="81"/>
      <c r="N18" s="81"/>
      <c r="O18" s="83">
        <v>917.99</v>
      </c>
      <c r="P18" s="83">
        <f>O18*P3</f>
        <v>4397.1720999999998</v>
      </c>
      <c r="Q18" s="84">
        <f>L18-O18</f>
        <v>-338.71000000000026</v>
      </c>
      <c r="R18" s="84"/>
      <c r="S18" s="85">
        <f>Q18*P3</f>
        <v>-1622.4209000000012</v>
      </c>
    </row>
    <row r="19" spans="1:19" ht="31.5" customHeight="1" x14ac:dyDescent="0.25">
      <c r="A19" s="75">
        <v>45170</v>
      </c>
      <c r="B19" s="76">
        <v>3907.2</v>
      </c>
      <c r="C19" s="76">
        <v>1147.5</v>
      </c>
      <c r="D19" s="77" t="s">
        <v>30</v>
      </c>
      <c r="E19" s="76" t="s">
        <v>23</v>
      </c>
      <c r="F19" s="78">
        <v>5814.4</v>
      </c>
      <c r="G19" s="78">
        <f>4362+315+93</f>
        <v>4770</v>
      </c>
      <c r="H19" s="78">
        <f t="shared" si="4"/>
        <v>34</v>
      </c>
      <c r="I19" s="78">
        <f t="shared" si="0"/>
        <v>1010.3999999999996</v>
      </c>
      <c r="J19" s="79">
        <f t="shared" si="1"/>
        <v>1010.3999999999996</v>
      </c>
      <c r="K19" s="192" t="s">
        <v>87</v>
      </c>
      <c r="L19" s="80">
        <f t="shared" si="3"/>
        <v>1010.3999999999996</v>
      </c>
      <c r="M19" s="81"/>
      <c r="N19" s="81"/>
      <c r="O19" s="83">
        <v>917.99</v>
      </c>
      <c r="P19" s="83">
        <f>O19*P3</f>
        <v>4397.1720999999998</v>
      </c>
      <c r="Q19" s="84"/>
      <c r="R19" s="84">
        <f>L19-O19</f>
        <v>92.409999999999627</v>
      </c>
      <c r="S19" s="85">
        <f>R19*P3</f>
        <v>442.64389999999821</v>
      </c>
    </row>
    <row r="20" spans="1:19" ht="31.5" customHeight="1" x14ac:dyDescent="0.25">
      <c r="A20" s="75">
        <v>45200</v>
      </c>
      <c r="B20" s="76">
        <v>3907.2</v>
      </c>
      <c r="C20" s="76">
        <v>1147.5</v>
      </c>
      <c r="D20" s="77" t="s">
        <v>30</v>
      </c>
      <c r="E20" s="76" t="s">
        <v>23</v>
      </c>
      <c r="F20" s="78">
        <v>6342.4830000000002</v>
      </c>
      <c r="G20" s="78">
        <f>4814+196+88</f>
        <v>5098</v>
      </c>
      <c r="H20" s="78">
        <f t="shared" si="4"/>
        <v>34</v>
      </c>
      <c r="I20" s="78">
        <f t="shared" si="0"/>
        <v>1210.4830000000002</v>
      </c>
      <c r="J20" s="79">
        <f t="shared" si="1"/>
        <v>1210.4830000000002</v>
      </c>
      <c r="K20" s="192" t="s">
        <v>88</v>
      </c>
      <c r="L20" s="80">
        <f t="shared" si="3"/>
        <v>1210.4830000000002</v>
      </c>
      <c r="M20" s="81"/>
      <c r="N20" s="81"/>
      <c r="O20" s="83">
        <v>917.99</v>
      </c>
      <c r="P20" s="83">
        <f>O20*P3</f>
        <v>4397.1720999999998</v>
      </c>
      <c r="Q20" s="84"/>
      <c r="R20" s="84">
        <f>L20-O20</f>
        <v>292.49300000000017</v>
      </c>
      <c r="S20" s="85">
        <f>R20*P3</f>
        <v>1401.0414700000008</v>
      </c>
    </row>
    <row r="21" spans="1:19" ht="31.5" customHeight="1" x14ac:dyDescent="0.25">
      <c r="A21" s="75">
        <v>45231</v>
      </c>
      <c r="B21" s="76">
        <v>3907.2</v>
      </c>
      <c r="C21" s="76">
        <v>1147.5</v>
      </c>
      <c r="D21" s="77" t="s">
        <v>30</v>
      </c>
      <c r="E21" s="76" t="s">
        <v>23</v>
      </c>
      <c r="F21" s="78">
        <v>6047.2</v>
      </c>
      <c r="G21" s="78">
        <f>5052+304+94</f>
        <v>5450</v>
      </c>
      <c r="H21" s="78">
        <f t="shared" si="4"/>
        <v>34</v>
      </c>
      <c r="I21" s="78">
        <f t="shared" si="0"/>
        <v>563.19999999999982</v>
      </c>
      <c r="J21" s="79">
        <f t="shared" si="1"/>
        <v>563.19999999999982</v>
      </c>
      <c r="K21" s="192" t="s">
        <v>89</v>
      </c>
      <c r="L21" s="80">
        <f t="shared" si="3"/>
        <v>563.19999999999982</v>
      </c>
      <c r="M21" s="81"/>
      <c r="N21" s="81"/>
      <c r="O21" s="83">
        <v>917.99</v>
      </c>
      <c r="P21" s="83">
        <f>O21*P3</f>
        <v>4397.1720999999998</v>
      </c>
      <c r="Q21" s="84">
        <f>L21-O21</f>
        <v>-354.79000000000019</v>
      </c>
      <c r="R21" s="84"/>
      <c r="S21" s="85">
        <f>Q21*P3</f>
        <v>-1699.4441000000008</v>
      </c>
    </row>
    <row r="22" spans="1:19" ht="31.5" customHeight="1" x14ac:dyDescent="0.25">
      <c r="A22" s="75">
        <v>45261</v>
      </c>
      <c r="B22" s="76">
        <v>3907.2</v>
      </c>
      <c r="C22" s="76">
        <v>1147.5</v>
      </c>
      <c r="D22" s="77" t="s">
        <v>30</v>
      </c>
      <c r="E22" s="76" t="s">
        <v>23</v>
      </c>
      <c r="F22" s="78">
        <v>5982.88</v>
      </c>
      <c r="G22" s="78">
        <f>5533+519+226</f>
        <v>6278</v>
      </c>
      <c r="H22" s="78">
        <f t="shared" si="4"/>
        <v>34</v>
      </c>
      <c r="I22" s="78">
        <f t="shared" si="0"/>
        <v>-329.11999999999989</v>
      </c>
      <c r="J22" s="79">
        <f t="shared" si="1"/>
        <v>-329.11999999999989</v>
      </c>
      <c r="K22" s="193" t="s">
        <v>90</v>
      </c>
      <c r="L22" s="80">
        <f t="shared" si="2"/>
        <v>0</v>
      </c>
      <c r="M22" s="81"/>
      <c r="N22" s="81"/>
      <c r="O22" s="83">
        <v>917.99</v>
      </c>
      <c r="P22" s="83">
        <f>O22*P3</f>
        <v>4397.1720999999998</v>
      </c>
      <c r="Q22" s="84">
        <f>L22-O22</f>
        <v>-917.99</v>
      </c>
      <c r="R22" s="84"/>
      <c r="S22" s="85">
        <f>Q22*P3</f>
        <v>-4397.1720999999998</v>
      </c>
    </row>
    <row r="23" spans="1:19" s="72" customFormat="1" ht="31.5" customHeight="1" x14ac:dyDescent="0.25">
      <c r="A23" s="96"/>
      <c r="L23" s="72">
        <f>SUM(L11:L22)</f>
        <v>5788.1629999999986</v>
      </c>
      <c r="O23" s="72">
        <f>SUM(O11:O22)</f>
        <v>11015.88</v>
      </c>
      <c r="P23" s="72">
        <f>SUM(P11:P22)</f>
        <v>52766.065199999983</v>
      </c>
      <c r="R23" s="72">
        <f>SUM(Q11:R22)</f>
        <v>-5227.7169999999996</v>
      </c>
      <c r="S23" s="72">
        <f>SUM(S11:S22)</f>
        <v>-25040.764430000007</v>
      </c>
    </row>
    <row r="24" spans="1:19" s="72" customFormat="1" ht="31.5" customHeight="1" x14ac:dyDescent="0.25">
      <c r="A24" s="96"/>
      <c r="L24" s="72">
        <f>L23*P3</f>
        <v>27725.300769999994</v>
      </c>
    </row>
    <row r="25" spans="1:19" ht="31.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</sheetData>
  <mergeCells count="22">
    <mergeCell ref="A1:S1"/>
    <mergeCell ref="M4:M5"/>
    <mergeCell ref="N4:N5"/>
    <mergeCell ref="O4:O5"/>
    <mergeCell ref="P4:P5"/>
    <mergeCell ref="S4:S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S2:S3"/>
    <mergeCell ref="I4:I5"/>
    <mergeCell ref="K4:L4"/>
    <mergeCell ref="J2:N2"/>
    <mergeCell ref="J3:N3"/>
    <mergeCell ref="J4:J5"/>
  </mergeCells>
  <pageMargins left="0.25" right="0.25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77" zoomScaleNormal="77" workbookViewId="0">
      <selection activeCell="K11" sqref="K11:K22"/>
    </sheetView>
  </sheetViews>
  <sheetFormatPr defaultRowHeight="15" x14ac:dyDescent="0.25"/>
  <cols>
    <col min="1" max="1" width="13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33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39.75" hidden="1" customHeight="1" x14ac:dyDescent="0.25">
      <c r="A7" s="23">
        <v>44805</v>
      </c>
      <c r="B7" s="13">
        <v>4689.3</v>
      </c>
      <c r="C7" s="13">
        <v>1555.7</v>
      </c>
      <c r="D7" s="24" t="s">
        <v>34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1245</v>
      </c>
      <c r="M7" s="37"/>
      <c r="N7" s="37"/>
      <c r="O7" s="60">
        <v>1244.558</v>
      </c>
      <c r="P7" s="49">
        <f>O7*P2</f>
        <v>5476.0552000000007</v>
      </c>
      <c r="Q7" s="63"/>
      <c r="R7" s="37"/>
      <c r="S7" s="20">
        <v>0</v>
      </c>
    </row>
    <row r="8" spans="1:19" ht="39.75" hidden="1" customHeight="1" x14ac:dyDescent="0.25">
      <c r="A8" s="23">
        <v>44835</v>
      </c>
      <c r="B8" s="13">
        <v>4689.3</v>
      </c>
      <c r="C8" s="13">
        <v>1555.7</v>
      </c>
      <c r="D8" s="24" t="s">
        <v>34</v>
      </c>
      <c r="E8" s="13" t="s">
        <v>23</v>
      </c>
      <c r="F8" s="14">
        <v>9617.2800000000007</v>
      </c>
      <c r="G8" s="14">
        <f>8837+184+66</f>
        <v>9087</v>
      </c>
      <c r="H8" s="14">
        <f t="shared" ref="H8:H14" si="0">10+14+15+15</f>
        <v>54</v>
      </c>
      <c r="I8" s="14">
        <v>476</v>
      </c>
      <c r="J8" s="35">
        <f>I8</f>
        <v>476</v>
      </c>
      <c r="K8" s="39" t="s">
        <v>64</v>
      </c>
      <c r="L8" s="46">
        <v>476</v>
      </c>
      <c r="M8" s="41"/>
      <c r="N8" s="41"/>
      <c r="O8" s="60">
        <v>1244.558</v>
      </c>
      <c r="P8" s="49">
        <f>O8*P2</f>
        <v>5476.0552000000007</v>
      </c>
      <c r="Q8" s="67">
        <f>O8-I8</f>
        <v>768.55799999999999</v>
      </c>
      <c r="R8" s="40"/>
      <c r="S8" s="20">
        <f>-(Q8*P2)</f>
        <v>-3381.6552000000001</v>
      </c>
    </row>
    <row r="9" spans="1:19" ht="39.75" hidden="1" customHeight="1" x14ac:dyDescent="0.25">
      <c r="A9" s="23">
        <v>44866</v>
      </c>
      <c r="B9" s="13">
        <v>4689.3</v>
      </c>
      <c r="C9" s="13">
        <v>1555.7</v>
      </c>
      <c r="D9" s="24" t="s">
        <v>34</v>
      </c>
      <c r="E9" s="13" t="s">
        <v>23</v>
      </c>
      <c r="F9" s="5">
        <v>10262</v>
      </c>
      <c r="G9" s="5">
        <f>9226+199+75</f>
        <v>9500</v>
      </c>
      <c r="H9" s="5">
        <f t="shared" si="0"/>
        <v>54</v>
      </c>
      <c r="I9" s="14">
        <v>708</v>
      </c>
      <c r="J9" s="35">
        <f>I9</f>
        <v>708</v>
      </c>
      <c r="K9" s="39" t="s">
        <v>66</v>
      </c>
      <c r="L9" s="46">
        <v>708</v>
      </c>
      <c r="M9" s="40"/>
      <c r="N9" s="40"/>
      <c r="O9" s="60">
        <v>1244.558</v>
      </c>
      <c r="P9" s="51">
        <f>O9*P2</f>
        <v>5476.0552000000007</v>
      </c>
      <c r="Q9" s="67">
        <f>O9-L9</f>
        <v>536.55799999999999</v>
      </c>
      <c r="R9" s="40"/>
      <c r="S9" s="20">
        <f>-(Q9*P2)</f>
        <v>-2360.8552</v>
      </c>
    </row>
    <row r="10" spans="1:19" ht="39.75" hidden="1" customHeight="1" x14ac:dyDescent="0.25">
      <c r="A10" s="23">
        <v>44896</v>
      </c>
      <c r="B10" s="5">
        <v>4689.3</v>
      </c>
      <c r="C10" s="5">
        <v>1555.7</v>
      </c>
      <c r="D10" s="24" t="s">
        <v>34</v>
      </c>
      <c r="E10" s="5" t="s">
        <v>23</v>
      </c>
      <c r="F10" s="5">
        <f>9695</f>
        <v>9695</v>
      </c>
      <c r="G10" s="5">
        <f>9966+165+61</f>
        <v>10192</v>
      </c>
      <c r="H10" s="5">
        <f t="shared" si="0"/>
        <v>54</v>
      </c>
      <c r="I10" s="8">
        <f t="shared" ref="I10:I22" si="1">F10-(G10+H10)</f>
        <v>-551</v>
      </c>
      <c r="J10" s="35">
        <f>I10</f>
        <v>-551</v>
      </c>
      <c r="K10" s="39" t="s">
        <v>67</v>
      </c>
      <c r="L10" s="46">
        <v>0</v>
      </c>
      <c r="M10" s="40"/>
      <c r="N10" s="40"/>
      <c r="O10" s="61">
        <v>1244.558</v>
      </c>
      <c r="P10" s="51">
        <f>O10*P3</f>
        <v>5961.43282</v>
      </c>
      <c r="Q10" s="67">
        <f>O10</f>
        <v>1244.558</v>
      </c>
      <c r="R10" s="40"/>
      <c r="S10" s="20">
        <f>-(Q10*P3)</f>
        <v>-5961.43282</v>
      </c>
    </row>
    <row r="11" spans="1:19" ht="31.5" customHeight="1" x14ac:dyDescent="0.25">
      <c r="A11" s="75">
        <v>44927</v>
      </c>
      <c r="B11" s="76">
        <v>4689.3</v>
      </c>
      <c r="C11" s="76">
        <v>1555.7</v>
      </c>
      <c r="D11" s="77" t="s">
        <v>34</v>
      </c>
      <c r="E11" s="76" t="s">
        <v>23</v>
      </c>
      <c r="F11" s="78">
        <v>10733.2</v>
      </c>
      <c r="G11" s="78">
        <f>10327+250+107</f>
        <v>10684</v>
      </c>
      <c r="H11" s="78">
        <f t="shared" si="0"/>
        <v>54</v>
      </c>
      <c r="I11" s="78">
        <f t="shared" si="1"/>
        <v>-4.7999999999992724</v>
      </c>
      <c r="J11" s="79">
        <f>I11+5</f>
        <v>0.2000000000007276</v>
      </c>
      <c r="K11" s="192" t="s">
        <v>80</v>
      </c>
      <c r="L11" s="80">
        <v>0</v>
      </c>
      <c r="M11" s="81"/>
      <c r="N11" s="81"/>
      <c r="O11" s="82">
        <v>1244.558</v>
      </c>
      <c r="P11" s="83">
        <f>O11*P3</f>
        <v>5961.43282</v>
      </c>
      <c r="Q11" s="84">
        <f>L11-O11</f>
        <v>-1244.558</v>
      </c>
      <c r="R11" s="84"/>
      <c r="S11" s="85">
        <f>Q11*P3</f>
        <v>-5961.43282</v>
      </c>
    </row>
    <row r="12" spans="1:19" ht="31.5" customHeight="1" x14ac:dyDescent="0.25">
      <c r="A12" s="75">
        <v>44958</v>
      </c>
      <c r="B12" s="76">
        <v>4689.3</v>
      </c>
      <c r="C12" s="76">
        <v>1555.7</v>
      </c>
      <c r="D12" s="77" t="s">
        <v>34</v>
      </c>
      <c r="E12" s="76" t="s">
        <v>23</v>
      </c>
      <c r="F12" s="78">
        <v>7325.52</v>
      </c>
      <c r="G12" s="78">
        <f>6925+114+30</f>
        <v>7069</v>
      </c>
      <c r="H12" s="78">
        <f t="shared" si="0"/>
        <v>54</v>
      </c>
      <c r="I12" s="78">
        <f t="shared" si="1"/>
        <v>202.52000000000044</v>
      </c>
      <c r="J12" s="79">
        <f>I12-203</f>
        <v>-0.47999999999956344</v>
      </c>
      <c r="K12" s="192"/>
      <c r="L12" s="80">
        <v>0</v>
      </c>
      <c r="M12" s="81"/>
      <c r="N12" s="81"/>
      <c r="O12" s="82">
        <v>1244.558</v>
      </c>
      <c r="P12" s="83">
        <f>O12*P3</f>
        <v>5961.43282</v>
      </c>
      <c r="Q12" s="84">
        <f>L12-O12</f>
        <v>-1244.558</v>
      </c>
      <c r="R12" s="84"/>
      <c r="S12" s="86">
        <f>Q12*P3</f>
        <v>-5961.43282</v>
      </c>
    </row>
    <row r="13" spans="1:19" ht="31.5" customHeight="1" x14ac:dyDescent="0.25">
      <c r="A13" s="75">
        <v>44986</v>
      </c>
      <c r="B13" s="76">
        <v>4689.3</v>
      </c>
      <c r="C13" s="76">
        <v>1555.7</v>
      </c>
      <c r="D13" s="77" t="s">
        <v>34</v>
      </c>
      <c r="E13" s="76" t="s">
        <v>23</v>
      </c>
      <c r="F13" s="78">
        <v>11294.4</v>
      </c>
      <c r="G13" s="78">
        <f>9112+178+68</f>
        <v>9358</v>
      </c>
      <c r="H13" s="78">
        <f t="shared" si="0"/>
        <v>54</v>
      </c>
      <c r="I13" s="78">
        <f t="shared" si="1"/>
        <v>1882.3999999999996</v>
      </c>
      <c r="J13" s="79">
        <f>I13-353</f>
        <v>1529.3999999999996</v>
      </c>
      <c r="K13" s="192" t="s">
        <v>81</v>
      </c>
      <c r="L13" s="80">
        <f>J13</f>
        <v>1529.3999999999996</v>
      </c>
      <c r="M13" s="81"/>
      <c r="N13" s="81"/>
      <c r="O13" s="82">
        <v>1244.558</v>
      </c>
      <c r="P13" s="83">
        <f>O13*P3</f>
        <v>5961.43282</v>
      </c>
      <c r="Q13" s="84"/>
      <c r="R13" s="84">
        <f>L13-O13</f>
        <v>284.84199999999964</v>
      </c>
      <c r="S13" s="86">
        <f>R13*P3</f>
        <v>1364.3931799999982</v>
      </c>
    </row>
    <row r="14" spans="1:19" ht="31.5" customHeight="1" x14ac:dyDescent="0.25">
      <c r="A14" s="75">
        <v>45017</v>
      </c>
      <c r="B14" s="76">
        <v>4689.3</v>
      </c>
      <c r="C14" s="76">
        <v>1555.7</v>
      </c>
      <c r="D14" s="77" t="s">
        <v>34</v>
      </c>
      <c r="E14" s="76" t="s">
        <v>23</v>
      </c>
      <c r="F14" s="78">
        <v>9053.52</v>
      </c>
      <c r="G14" s="78">
        <f>8573+236+64</f>
        <v>8873</v>
      </c>
      <c r="H14" s="78">
        <f t="shared" si="0"/>
        <v>54</v>
      </c>
      <c r="I14" s="78">
        <f t="shared" si="1"/>
        <v>126.52000000000044</v>
      </c>
      <c r="J14" s="79">
        <f t="shared" ref="J14:J22" si="2">I14</f>
        <v>126.52000000000044</v>
      </c>
      <c r="K14" s="192" t="s">
        <v>82</v>
      </c>
      <c r="L14" s="80">
        <f>J14</f>
        <v>126.52000000000044</v>
      </c>
      <c r="M14" s="81"/>
      <c r="N14" s="81"/>
      <c r="O14" s="82">
        <v>1244.558</v>
      </c>
      <c r="P14" s="83">
        <f>O14*P3</f>
        <v>5961.43282</v>
      </c>
      <c r="Q14" s="84">
        <f t="shared" ref="Q14:Q22" si="3">L14-O14</f>
        <v>-1118.0379999999996</v>
      </c>
      <c r="R14" s="84"/>
      <c r="S14" s="86">
        <f>Q14*P3</f>
        <v>-5355.4020199999977</v>
      </c>
    </row>
    <row r="15" spans="1:19" ht="31.5" customHeight="1" x14ac:dyDescent="0.25">
      <c r="A15" s="75">
        <v>45047</v>
      </c>
      <c r="B15" s="76">
        <v>4689.3</v>
      </c>
      <c r="C15" s="76">
        <v>1555.7</v>
      </c>
      <c r="D15" s="77" t="s">
        <v>34</v>
      </c>
      <c r="E15" s="76" t="s">
        <v>23</v>
      </c>
      <c r="F15" s="78">
        <v>11113.68</v>
      </c>
      <c r="G15" s="78">
        <f>11175+254+133</f>
        <v>11562</v>
      </c>
      <c r="H15" s="78">
        <f t="shared" ref="H15:H22" si="4">10+14+15+15</f>
        <v>54</v>
      </c>
      <c r="I15" s="78">
        <f t="shared" si="1"/>
        <v>-502.31999999999971</v>
      </c>
      <c r="J15" s="79">
        <f t="shared" si="2"/>
        <v>-502.31999999999971</v>
      </c>
      <c r="K15" s="192" t="s">
        <v>83</v>
      </c>
      <c r="L15" s="80">
        <v>0</v>
      </c>
      <c r="M15" s="81"/>
      <c r="N15" s="81"/>
      <c r="O15" s="82">
        <v>1244.558</v>
      </c>
      <c r="P15" s="83">
        <f>O15*P3</f>
        <v>5961.43282</v>
      </c>
      <c r="Q15" s="84">
        <f t="shared" si="3"/>
        <v>-1244.558</v>
      </c>
      <c r="R15" s="84"/>
      <c r="S15" s="86">
        <f>Q15*P3</f>
        <v>-5961.43282</v>
      </c>
    </row>
    <row r="16" spans="1:19" ht="31.5" customHeight="1" x14ac:dyDescent="0.25">
      <c r="A16" s="75">
        <v>45078</v>
      </c>
      <c r="B16" s="76">
        <v>4689.3</v>
      </c>
      <c r="C16" s="76">
        <v>1555.7</v>
      </c>
      <c r="D16" s="77" t="s">
        <v>34</v>
      </c>
      <c r="E16" s="76" t="s">
        <v>23</v>
      </c>
      <c r="F16" s="78">
        <v>9977.76</v>
      </c>
      <c r="G16" s="78">
        <f>8098+217+72</f>
        <v>8387</v>
      </c>
      <c r="H16" s="78">
        <f t="shared" si="4"/>
        <v>54</v>
      </c>
      <c r="I16" s="78">
        <f t="shared" si="1"/>
        <v>1536.7600000000002</v>
      </c>
      <c r="J16" s="79">
        <f>I16+J15</f>
        <v>1034.4400000000005</v>
      </c>
      <c r="K16" s="192" t="s">
        <v>84</v>
      </c>
      <c r="L16" s="80">
        <f>J16</f>
        <v>1034.4400000000005</v>
      </c>
      <c r="M16" s="81"/>
      <c r="N16" s="81"/>
      <c r="O16" s="82">
        <v>1244.558</v>
      </c>
      <c r="P16" s="83">
        <f>O16*P3</f>
        <v>5961.43282</v>
      </c>
      <c r="Q16" s="84">
        <f t="shared" si="3"/>
        <v>-210.11799999999948</v>
      </c>
      <c r="R16" s="84"/>
      <c r="S16" s="86">
        <f>Q16*P3</f>
        <v>-1006.4652199999975</v>
      </c>
    </row>
    <row r="17" spans="1:19" ht="31.5" customHeight="1" x14ac:dyDescent="0.25">
      <c r="A17" s="75">
        <v>45108</v>
      </c>
      <c r="B17" s="76">
        <v>4689.3</v>
      </c>
      <c r="C17" s="76">
        <v>1555.7</v>
      </c>
      <c r="D17" s="77" t="s">
        <v>34</v>
      </c>
      <c r="E17" s="76" t="s">
        <v>23</v>
      </c>
      <c r="F17" s="78">
        <v>7953.44</v>
      </c>
      <c r="G17" s="78">
        <f>9749+217+68</f>
        <v>10034</v>
      </c>
      <c r="H17" s="78">
        <f t="shared" si="4"/>
        <v>54</v>
      </c>
      <c r="I17" s="78">
        <f t="shared" si="1"/>
        <v>-2134.5600000000004</v>
      </c>
      <c r="J17" s="79">
        <f t="shared" si="2"/>
        <v>-2134.5600000000004</v>
      </c>
      <c r="K17" s="192" t="s">
        <v>85</v>
      </c>
      <c r="L17" s="80">
        <v>0</v>
      </c>
      <c r="M17" s="81"/>
      <c r="N17" s="81"/>
      <c r="O17" s="82">
        <v>1244.558</v>
      </c>
      <c r="P17" s="83">
        <f>O17*P3</f>
        <v>5961.43282</v>
      </c>
      <c r="Q17" s="84">
        <f t="shared" si="3"/>
        <v>-1244.558</v>
      </c>
      <c r="R17" s="84"/>
      <c r="S17" s="86">
        <f>Q17*P3</f>
        <v>-5961.43282</v>
      </c>
    </row>
    <row r="18" spans="1:19" ht="31.5" customHeight="1" x14ac:dyDescent="0.25">
      <c r="A18" s="75">
        <v>45139</v>
      </c>
      <c r="B18" s="76">
        <v>4689.3</v>
      </c>
      <c r="C18" s="76">
        <v>1555.7</v>
      </c>
      <c r="D18" s="77" t="s">
        <v>34</v>
      </c>
      <c r="E18" s="76" t="s">
        <v>23</v>
      </c>
      <c r="F18" s="78">
        <v>9641.0400000000009</v>
      </c>
      <c r="G18" s="78">
        <f>6661+221+83</f>
        <v>6965</v>
      </c>
      <c r="H18" s="78">
        <f t="shared" si="4"/>
        <v>54</v>
      </c>
      <c r="I18" s="78">
        <f t="shared" si="1"/>
        <v>2622.0400000000009</v>
      </c>
      <c r="J18" s="79">
        <f>I18+J17</f>
        <v>487.48000000000047</v>
      </c>
      <c r="K18" s="192" t="s">
        <v>86</v>
      </c>
      <c r="L18" s="80">
        <f>J18</f>
        <v>487.48000000000047</v>
      </c>
      <c r="M18" s="81"/>
      <c r="N18" s="81"/>
      <c r="O18" s="82">
        <v>1244.558</v>
      </c>
      <c r="P18" s="83">
        <f>O18*P3</f>
        <v>5961.43282</v>
      </c>
      <c r="Q18" s="84">
        <f t="shared" si="3"/>
        <v>-757.07799999999952</v>
      </c>
      <c r="R18" s="84"/>
      <c r="S18" s="86">
        <f>Q18*P3</f>
        <v>-3626.4036199999978</v>
      </c>
    </row>
    <row r="19" spans="1:19" ht="31.5" customHeight="1" x14ac:dyDescent="0.25">
      <c r="A19" s="75">
        <v>45170</v>
      </c>
      <c r="B19" s="76">
        <v>4689.3</v>
      </c>
      <c r="C19" s="76">
        <v>1555.7</v>
      </c>
      <c r="D19" s="77" t="s">
        <v>34</v>
      </c>
      <c r="E19" s="76" t="s">
        <v>23</v>
      </c>
      <c r="F19" s="78">
        <v>9520.64</v>
      </c>
      <c r="G19" s="78">
        <f>9110+198+82</f>
        <v>9390</v>
      </c>
      <c r="H19" s="78">
        <f t="shared" si="4"/>
        <v>54</v>
      </c>
      <c r="I19" s="78">
        <f t="shared" si="1"/>
        <v>76.639999999999418</v>
      </c>
      <c r="J19" s="79">
        <f t="shared" si="2"/>
        <v>76.639999999999418</v>
      </c>
      <c r="K19" s="192" t="s">
        <v>87</v>
      </c>
      <c r="L19" s="80">
        <v>0</v>
      </c>
      <c r="M19" s="81"/>
      <c r="N19" s="81"/>
      <c r="O19" s="82">
        <v>1244.558</v>
      </c>
      <c r="P19" s="83">
        <f>O19*P3</f>
        <v>5961.43282</v>
      </c>
      <c r="Q19" s="84">
        <f t="shared" si="3"/>
        <v>-1244.558</v>
      </c>
      <c r="R19" s="84"/>
      <c r="S19" s="86">
        <f>Q19*P3</f>
        <v>-5961.43282</v>
      </c>
    </row>
    <row r="20" spans="1:19" ht="31.5" customHeight="1" x14ac:dyDescent="0.25">
      <c r="A20" s="75">
        <v>45200</v>
      </c>
      <c r="B20" s="76">
        <v>4689.3</v>
      </c>
      <c r="C20" s="76">
        <v>1555.7</v>
      </c>
      <c r="D20" s="77" t="s">
        <v>34</v>
      </c>
      <c r="E20" s="76" t="s">
        <v>23</v>
      </c>
      <c r="F20" s="78">
        <v>10475.200000000001</v>
      </c>
      <c r="G20" s="78">
        <f>9080+232+109</f>
        <v>9421</v>
      </c>
      <c r="H20" s="78">
        <f t="shared" si="4"/>
        <v>54</v>
      </c>
      <c r="I20" s="78">
        <f t="shared" si="1"/>
        <v>1000.2000000000007</v>
      </c>
      <c r="J20" s="79">
        <f t="shared" si="2"/>
        <v>1000.2000000000007</v>
      </c>
      <c r="K20" s="192" t="s">
        <v>88</v>
      </c>
      <c r="L20" s="80">
        <v>0</v>
      </c>
      <c r="M20" s="81"/>
      <c r="N20" s="81"/>
      <c r="O20" s="82">
        <v>1244.558</v>
      </c>
      <c r="P20" s="83">
        <f>O20*P3</f>
        <v>5961.43282</v>
      </c>
      <c r="Q20" s="84">
        <f t="shared" si="3"/>
        <v>-1244.558</v>
      </c>
      <c r="R20" s="84"/>
      <c r="S20" s="86">
        <f>Q20*P3</f>
        <v>-5961.43282</v>
      </c>
    </row>
    <row r="21" spans="1:19" ht="31.5" customHeight="1" x14ac:dyDescent="0.25">
      <c r="A21" s="75">
        <v>45231</v>
      </c>
      <c r="B21" s="76">
        <v>4689.3</v>
      </c>
      <c r="C21" s="76">
        <v>1555.7</v>
      </c>
      <c r="D21" s="77" t="s">
        <v>34</v>
      </c>
      <c r="E21" s="76" t="s">
        <v>23</v>
      </c>
      <c r="F21" s="78">
        <v>9693.92</v>
      </c>
      <c r="G21" s="78">
        <f>8863+192+61</f>
        <v>9116</v>
      </c>
      <c r="H21" s="78">
        <f t="shared" si="4"/>
        <v>54</v>
      </c>
      <c r="I21" s="78">
        <f t="shared" si="1"/>
        <v>523.92000000000007</v>
      </c>
      <c r="J21" s="79">
        <f t="shared" si="2"/>
        <v>523.92000000000007</v>
      </c>
      <c r="K21" s="192" t="s">
        <v>89</v>
      </c>
      <c r="L21" s="80">
        <v>0</v>
      </c>
      <c r="M21" s="81"/>
      <c r="N21" s="81"/>
      <c r="O21" s="82">
        <v>1244.558</v>
      </c>
      <c r="P21" s="83">
        <f>O21*P3</f>
        <v>5961.43282</v>
      </c>
      <c r="Q21" s="84">
        <f t="shared" si="3"/>
        <v>-1244.558</v>
      </c>
      <c r="R21" s="84"/>
      <c r="S21" s="86">
        <f>Q21*P3</f>
        <v>-5961.43282</v>
      </c>
    </row>
    <row r="22" spans="1:19" ht="31.5" customHeight="1" x14ac:dyDescent="0.25">
      <c r="A22" s="75">
        <v>45261</v>
      </c>
      <c r="B22" s="76">
        <v>4689.3</v>
      </c>
      <c r="C22" s="76">
        <v>1555.7</v>
      </c>
      <c r="D22" s="77" t="s">
        <v>34</v>
      </c>
      <c r="E22" s="76" t="s">
        <v>23</v>
      </c>
      <c r="F22" s="78">
        <v>9078.9599999999991</v>
      </c>
      <c r="G22" s="78">
        <f>9005+208+59</f>
        <v>9272</v>
      </c>
      <c r="H22" s="78">
        <f t="shared" si="4"/>
        <v>54</v>
      </c>
      <c r="I22" s="78">
        <f t="shared" si="1"/>
        <v>-247.04000000000087</v>
      </c>
      <c r="J22" s="79">
        <f t="shared" si="2"/>
        <v>-247.04000000000087</v>
      </c>
      <c r="K22" s="193" t="s">
        <v>90</v>
      </c>
      <c r="L22" s="80">
        <v>0</v>
      </c>
      <c r="M22" s="81"/>
      <c r="N22" s="81"/>
      <c r="O22" s="82">
        <v>1244.558</v>
      </c>
      <c r="P22" s="83">
        <f>O22*P3</f>
        <v>5961.43282</v>
      </c>
      <c r="Q22" s="84">
        <f t="shared" si="3"/>
        <v>-1244.558</v>
      </c>
      <c r="R22" s="84"/>
      <c r="S22" s="86">
        <f>Q22*P3</f>
        <v>-5961.43282</v>
      </c>
    </row>
    <row r="23" spans="1:19" s="72" customFormat="1" ht="31.5" customHeight="1" x14ac:dyDescent="0.25">
      <c r="A23" s="96"/>
      <c r="L23" s="72">
        <f>SUM(L11:L22)</f>
        <v>3177.8400000000011</v>
      </c>
      <c r="O23" s="72">
        <f>SUM(O11:O22)</f>
        <v>14934.696000000004</v>
      </c>
      <c r="P23" s="72">
        <f>SUM(P11:P22)</f>
        <v>71537.193840000007</v>
      </c>
      <c r="R23" s="72">
        <f>SUM(Q11:R22)</f>
        <v>-11756.856</v>
      </c>
      <c r="S23" s="72">
        <f>SUM(S11:S22)</f>
        <v>-56315.340240000005</v>
      </c>
    </row>
    <row r="24" spans="1:19" s="72" customFormat="1" ht="31.5" customHeight="1" x14ac:dyDescent="0.25">
      <c r="A24" s="96"/>
      <c r="L24" s="72">
        <f>L23*P3</f>
        <v>15221.853600000006</v>
      </c>
    </row>
    <row r="25" spans="1:19" s="72" customFormat="1" ht="15.75" customHeight="1" x14ac:dyDescent="0.25">
      <c r="A25" s="96"/>
    </row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</sheetData>
  <mergeCells count="22"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  <mergeCell ref="S4:S5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78" zoomScaleNormal="78" workbookViewId="0">
      <selection activeCell="K11" sqref="K11:K22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35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39.75" hidden="1" customHeight="1" x14ac:dyDescent="0.25">
      <c r="A7" s="23">
        <v>44805</v>
      </c>
      <c r="B7" s="13">
        <v>3375.7</v>
      </c>
      <c r="C7" s="13">
        <v>221.5</v>
      </c>
      <c r="D7" s="24" t="s">
        <v>36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160</v>
      </c>
      <c r="M7" s="37"/>
      <c r="N7" s="37"/>
      <c r="O7" s="60">
        <v>159.483</v>
      </c>
      <c r="P7" s="49">
        <f>O7*P2</f>
        <v>701.72520000000009</v>
      </c>
      <c r="Q7" s="63"/>
      <c r="R7" s="37"/>
      <c r="S7" s="20">
        <v>0</v>
      </c>
    </row>
    <row r="8" spans="1:19" ht="39.75" hidden="1" customHeight="1" x14ac:dyDescent="0.25">
      <c r="A8" s="23">
        <v>44835</v>
      </c>
      <c r="B8" s="13">
        <v>3375.7</v>
      </c>
      <c r="C8" s="13">
        <v>221.5</v>
      </c>
      <c r="D8" s="24" t="s">
        <v>36</v>
      </c>
      <c r="E8" s="13" t="s">
        <v>23</v>
      </c>
      <c r="F8" s="14">
        <v>4692.88</v>
      </c>
      <c r="G8" s="14">
        <f>5632+213+128</f>
        <v>5973</v>
      </c>
      <c r="H8" s="14">
        <f>180+14+15</f>
        <v>209</v>
      </c>
      <c r="I8" s="14">
        <f>F8-(G8+H8)</f>
        <v>-1489.12</v>
      </c>
      <c r="J8" s="35">
        <f>I8</f>
        <v>-1489.12</v>
      </c>
      <c r="K8" s="39" t="s">
        <v>64</v>
      </c>
      <c r="L8" s="46">
        <v>0</v>
      </c>
      <c r="M8" s="41"/>
      <c r="N8" s="41"/>
      <c r="O8" s="60">
        <v>159.483</v>
      </c>
      <c r="P8" s="49">
        <f>O8*P2</f>
        <v>701.72520000000009</v>
      </c>
      <c r="Q8" s="67">
        <f>O8</f>
        <v>159.483</v>
      </c>
      <c r="R8" s="40"/>
      <c r="S8" s="20">
        <f>-(Q8*P2)</f>
        <v>-701.72520000000009</v>
      </c>
    </row>
    <row r="9" spans="1:19" ht="39.75" hidden="1" customHeight="1" x14ac:dyDescent="0.25">
      <c r="A9" s="23">
        <v>44866</v>
      </c>
      <c r="B9" s="13">
        <v>3375.7</v>
      </c>
      <c r="C9" s="13">
        <v>221.5</v>
      </c>
      <c r="D9" s="24" t="s">
        <v>36</v>
      </c>
      <c r="E9" s="13" t="s">
        <v>23</v>
      </c>
      <c r="F9" s="9">
        <v>6778.32</v>
      </c>
      <c r="G9" s="5">
        <f>6675+213+128</f>
        <v>7016</v>
      </c>
      <c r="H9" s="5">
        <f>15+14+190</f>
        <v>219</v>
      </c>
      <c r="I9" s="14">
        <f t="shared" ref="I9:I22" si="0">F9-(G9+H9)</f>
        <v>-456.68000000000029</v>
      </c>
      <c r="J9" s="35">
        <f>J8+I9</f>
        <v>-1945.8000000000002</v>
      </c>
      <c r="K9" s="39" t="s">
        <v>66</v>
      </c>
      <c r="L9" s="46">
        <v>0</v>
      </c>
      <c r="M9" s="40"/>
      <c r="N9" s="40"/>
      <c r="O9" s="60">
        <v>159.483</v>
      </c>
      <c r="P9" s="51">
        <f>O9*P2</f>
        <v>701.72520000000009</v>
      </c>
      <c r="Q9" s="67">
        <f t="shared" ref="Q9:Q10" si="1">O9</f>
        <v>159.483</v>
      </c>
      <c r="R9" s="40"/>
      <c r="S9" s="20">
        <f>-(Q9*P2)</f>
        <v>-701.72520000000009</v>
      </c>
    </row>
    <row r="10" spans="1:19" ht="39.75" hidden="1" customHeight="1" x14ac:dyDescent="0.25">
      <c r="A10" s="23">
        <v>44896</v>
      </c>
      <c r="B10" s="5">
        <v>3375.7</v>
      </c>
      <c r="C10" s="5">
        <v>221.5</v>
      </c>
      <c r="D10" s="24" t="s">
        <v>36</v>
      </c>
      <c r="E10" s="5" t="s">
        <v>23</v>
      </c>
      <c r="F10" s="5">
        <v>5927</v>
      </c>
      <c r="G10" s="5">
        <f>4994+213+128</f>
        <v>5335</v>
      </c>
      <c r="H10" s="5">
        <f>422+14+15</f>
        <v>451</v>
      </c>
      <c r="I10" s="8">
        <f t="shared" si="0"/>
        <v>141</v>
      </c>
      <c r="J10" s="35">
        <f>J9+I10</f>
        <v>-1804.8000000000002</v>
      </c>
      <c r="K10" s="39" t="s">
        <v>67</v>
      </c>
      <c r="L10" s="46">
        <v>0</v>
      </c>
      <c r="M10" s="40"/>
      <c r="N10" s="40"/>
      <c r="O10" s="61">
        <v>159.483</v>
      </c>
      <c r="P10" s="51">
        <f>O10*P3</f>
        <v>763.92357000000004</v>
      </c>
      <c r="Q10" s="67">
        <f t="shared" si="1"/>
        <v>159.483</v>
      </c>
      <c r="R10" s="40"/>
      <c r="S10" s="20">
        <f>-(Q10*P3)</f>
        <v>-763.92357000000004</v>
      </c>
    </row>
    <row r="11" spans="1:19" ht="31.5" customHeight="1" x14ac:dyDescent="0.25">
      <c r="A11" s="75">
        <v>44927</v>
      </c>
      <c r="B11" s="76">
        <v>3375.7</v>
      </c>
      <c r="C11" s="76">
        <v>221.5</v>
      </c>
      <c r="D11" s="77" t="s">
        <v>36</v>
      </c>
      <c r="E11" s="76" t="s">
        <v>23</v>
      </c>
      <c r="F11" s="78">
        <v>7036.56</v>
      </c>
      <c r="G11" s="78">
        <f>5649</f>
        <v>5649</v>
      </c>
      <c r="H11" s="78">
        <f>212+14+15</f>
        <v>241</v>
      </c>
      <c r="I11" s="78">
        <f t="shared" si="0"/>
        <v>1146.5600000000004</v>
      </c>
      <c r="J11" s="79">
        <f>I11-1147</f>
        <v>-0.43999999999959982</v>
      </c>
      <c r="K11" s="192" t="s">
        <v>80</v>
      </c>
      <c r="L11" s="80">
        <v>0</v>
      </c>
      <c r="M11" s="81"/>
      <c r="N11" s="81"/>
      <c r="O11" s="82">
        <v>159.483</v>
      </c>
      <c r="P11" s="83">
        <f>O11*P3</f>
        <v>763.92357000000004</v>
      </c>
      <c r="Q11" s="84">
        <f>L11-O11</f>
        <v>-159.483</v>
      </c>
      <c r="R11" s="84"/>
      <c r="S11" s="85">
        <f>Q11*P3</f>
        <v>-763.92357000000004</v>
      </c>
    </row>
    <row r="12" spans="1:19" ht="31.5" customHeight="1" x14ac:dyDescent="0.25">
      <c r="A12" s="75">
        <v>44958</v>
      </c>
      <c r="B12" s="76">
        <v>3375.7</v>
      </c>
      <c r="C12" s="76">
        <v>221.5</v>
      </c>
      <c r="D12" s="77" t="s">
        <v>36</v>
      </c>
      <c r="E12" s="76" t="s">
        <v>23</v>
      </c>
      <c r="F12" s="78">
        <v>4463.4399999999996</v>
      </c>
      <c r="G12" s="78">
        <f>4180</f>
        <v>4180</v>
      </c>
      <c r="H12" s="78">
        <f>240+14+15</f>
        <v>269</v>
      </c>
      <c r="I12" s="78">
        <f t="shared" si="0"/>
        <v>14.4399999999996</v>
      </c>
      <c r="J12" s="79">
        <f>I12-14</f>
        <v>0.43999999999959982</v>
      </c>
      <c r="K12" s="192"/>
      <c r="L12" s="80">
        <v>0</v>
      </c>
      <c r="M12" s="81"/>
      <c r="N12" s="81"/>
      <c r="O12" s="82">
        <v>159.483</v>
      </c>
      <c r="P12" s="83">
        <f>O12*P3</f>
        <v>763.92357000000004</v>
      </c>
      <c r="Q12" s="84">
        <f>L12-O12</f>
        <v>-159.483</v>
      </c>
      <c r="R12" s="84"/>
      <c r="S12" s="86">
        <f>Q12*P3</f>
        <v>-763.92357000000004</v>
      </c>
    </row>
    <row r="13" spans="1:19" ht="31.5" customHeight="1" x14ac:dyDescent="0.25">
      <c r="A13" s="75">
        <v>44986</v>
      </c>
      <c r="B13" s="76">
        <v>3375.7</v>
      </c>
      <c r="C13" s="76">
        <v>221.5</v>
      </c>
      <c r="D13" s="77" t="s">
        <v>36</v>
      </c>
      <c r="E13" s="76" t="s">
        <v>23</v>
      </c>
      <c r="F13" s="78">
        <v>6912.88</v>
      </c>
      <c r="G13" s="78">
        <f>4025</f>
        <v>4025</v>
      </c>
      <c r="H13" s="78">
        <f>180+14+15</f>
        <v>209</v>
      </c>
      <c r="I13" s="78">
        <f t="shared" si="0"/>
        <v>2678.88</v>
      </c>
      <c r="J13" s="79">
        <f>I13-644</f>
        <v>2034.88</v>
      </c>
      <c r="K13" s="192" t="s">
        <v>81</v>
      </c>
      <c r="L13" s="80">
        <f>J13</f>
        <v>2034.88</v>
      </c>
      <c r="M13" s="81"/>
      <c r="N13" s="81"/>
      <c r="O13" s="82">
        <v>159.483</v>
      </c>
      <c r="P13" s="83">
        <f>O13*P3</f>
        <v>763.92357000000004</v>
      </c>
      <c r="Q13" s="84"/>
      <c r="R13" s="84">
        <f>L13-O13</f>
        <v>1875.3970000000002</v>
      </c>
      <c r="S13" s="85">
        <f>R13*P3</f>
        <v>8983.1516300000003</v>
      </c>
    </row>
    <row r="14" spans="1:19" ht="31.5" customHeight="1" x14ac:dyDescent="0.25">
      <c r="A14" s="75">
        <v>45017</v>
      </c>
      <c r="B14" s="76">
        <v>3375.7</v>
      </c>
      <c r="C14" s="76">
        <v>221.5</v>
      </c>
      <c r="D14" s="77" t="s">
        <v>36</v>
      </c>
      <c r="E14" s="76" t="s">
        <v>23</v>
      </c>
      <c r="F14" s="78">
        <v>5444.64</v>
      </c>
      <c r="G14" s="78">
        <f>6156</f>
        <v>6156</v>
      </c>
      <c r="H14" s="78">
        <f>215+14+15</f>
        <v>244</v>
      </c>
      <c r="I14" s="78">
        <f t="shared" si="0"/>
        <v>-955.35999999999967</v>
      </c>
      <c r="J14" s="79">
        <f t="shared" ref="J14:J22" si="2">I14</f>
        <v>-955.35999999999967</v>
      </c>
      <c r="K14" s="192" t="s">
        <v>82</v>
      </c>
      <c r="L14" s="80">
        <v>0</v>
      </c>
      <c r="M14" s="81"/>
      <c r="N14" s="81"/>
      <c r="O14" s="82">
        <v>159.483</v>
      </c>
      <c r="P14" s="83">
        <f>O14*P3</f>
        <v>763.92357000000004</v>
      </c>
      <c r="Q14" s="84">
        <f>L14-O14</f>
        <v>-159.483</v>
      </c>
      <c r="R14" s="84"/>
      <c r="S14" s="86">
        <f>Q14*P3</f>
        <v>-763.92357000000004</v>
      </c>
    </row>
    <row r="15" spans="1:19" ht="31.5" customHeight="1" x14ac:dyDescent="0.25">
      <c r="A15" s="75">
        <v>45047</v>
      </c>
      <c r="B15" s="76">
        <v>3375.7</v>
      </c>
      <c r="C15" s="76">
        <v>221.5</v>
      </c>
      <c r="D15" s="77" t="s">
        <v>36</v>
      </c>
      <c r="E15" s="76" t="s">
        <v>23</v>
      </c>
      <c r="F15" s="78">
        <v>6523.92</v>
      </c>
      <c r="G15" s="78">
        <f>4593</f>
        <v>4593</v>
      </c>
      <c r="H15" s="78">
        <f>200+14+15</f>
        <v>229</v>
      </c>
      <c r="I15" s="78">
        <f t="shared" si="0"/>
        <v>1701.92</v>
      </c>
      <c r="J15" s="79">
        <f>I15+I14</f>
        <v>746.5600000000004</v>
      </c>
      <c r="K15" s="192" t="s">
        <v>83</v>
      </c>
      <c r="L15" s="80">
        <f>J15</f>
        <v>746.5600000000004</v>
      </c>
      <c r="M15" s="81"/>
      <c r="N15" s="81"/>
      <c r="O15" s="82">
        <v>159.483</v>
      </c>
      <c r="P15" s="83">
        <f>O15*P3</f>
        <v>763.92357000000004</v>
      </c>
      <c r="Q15" s="84"/>
      <c r="R15" s="84">
        <f>L15-O15</f>
        <v>587.07700000000045</v>
      </c>
      <c r="S15" s="85">
        <f>R15*P3</f>
        <v>2812.0988300000022</v>
      </c>
    </row>
    <row r="16" spans="1:19" ht="31.5" customHeight="1" x14ac:dyDescent="0.25">
      <c r="A16" s="75">
        <v>45078</v>
      </c>
      <c r="B16" s="76">
        <v>3375.7</v>
      </c>
      <c r="C16" s="76">
        <v>221.5</v>
      </c>
      <c r="D16" s="77" t="s">
        <v>36</v>
      </c>
      <c r="E16" s="76" t="s">
        <v>23</v>
      </c>
      <c r="F16" s="78">
        <v>5392.24</v>
      </c>
      <c r="G16" s="78">
        <f>4308</f>
        <v>4308</v>
      </c>
      <c r="H16" s="78">
        <f>210+14+15</f>
        <v>239</v>
      </c>
      <c r="I16" s="78">
        <f t="shared" si="0"/>
        <v>845.23999999999978</v>
      </c>
      <c r="J16" s="79">
        <f t="shared" si="2"/>
        <v>845.23999999999978</v>
      </c>
      <c r="K16" s="192" t="s">
        <v>84</v>
      </c>
      <c r="L16" s="80">
        <f>J16</f>
        <v>845.23999999999978</v>
      </c>
      <c r="M16" s="81"/>
      <c r="N16" s="81"/>
      <c r="O16" s="82">
        <v>159.483</v>
      </c>
      <c r="P16" s="83">
        <f>O16*P3</f>
        <v>763.92357000000004</v>
      </c>
      <c r="Q16" s="84"/>
      <c r="R16" s="84">
        <f t="shared" ref="R16:R18" si="3">L16-O16</f>
        <v>685.75699999999983</v>
      </c>
      <c r="S16" s="85">
        <f>R16*P3</f>
        <v>3284.7760299999991</v>
      </c>
    </row>
    <row r="17" spans="1:19" ht="31.5" customHeight="1" x14ac:dyDescent="0.25">
      <c r="A17" s="75">
        <v>45108</v>
      </c>
      <c r="B17" s="76">
        <v>3375.7</v>
      </c>
      <c r="C17" s="76">
        <v>221.5</v>
      </c>
      <c r="D17" s="77" t="s">
        <v>36</v>
      </c>
      <c r="E17" s="76" t="s">
        <v>23</v>
      </c>
      <c r="F17" s="78">
        <v>4638.6400000000003</v>
      </c>
      <c r="G17" s="78">
        <f>4223</f>
        <v>4223</v>
      </c>
      <c r="H17" s="78">
        <f>190+14+15</f>
        <v>219</v>
      </c>
      <c r="I17" s="78">
        <f t="shared" si="0"/>
        <v>196.64000000000033</v>
      </c>
      <c r="J17" s="79">
        <f t="shared" si="2"/>
        <v>196.64000000000033</v>
      </c>
      <c r="K17" s="192" t="s">
        <v>85</v>
      </c>
      <c r="L17" s="80">
        <f>J17</f>
        <v>196.64000000000033</v>
      </c>
      <c r="M17" s="81"/>
      <c r="N17" s="81"/>
      <c r="O17" s="82">
        <v>159.483</v>
      </c>
      <c r="P17" s="83">
        <f>O17*P3</f>
        <v>763.92357000000004</v>
      </c>
      <c r="Q17" s="84"/>
      <c r="R17" s="84">
        <f t="shared" si="3"/>
        <v>37.157000000000323</v>
      </c>
      <c r="S17" s="85">
        <f>R17*P3</f>
        <v>177.98203000000154</v>
      </c>
    </row>
    <row r="18" spans="1:19" ht="31.5" customHeight="1" x14ac:dyDescent="0.25">
      <c r="A18" s="75">
        <v>45139</v>
      </c>
      <c r="B18" s="76">
        <v>3375.7</v>
      </c>
      <c r="C18" s="76">
        <v>221.5</v>
      </c>
      <c r="D18" s="77" t="s">
        <v>36</v>
      </c>
      <c r="E18" s="76" t="s">
        <v>23</v>
      </c>
      <c r="F18" s="78">
        <v>5600.4</v>
      </c>
      <c r="G18" s="78">
        <f>3965</f>
        <v>3965</v>
      </c>
      <c r="H18" s="78">
        <f>150+14+15</f>
        <v>179</v>
      </c>
      <c r="I18" s="78">
        <f t="shared" si="0"/>
        <v>1456.3999999999996</v>
      </c>
      <c r="J18" s="79">
        <f t="shared" si="2"/>
        <v>1456.3999999999996</v>
      </c>
      <c r="K18" s="192" t="s">
        <v>86</v>
      </c>
      <c r="L18" s="80">
        <f>J18</f>
        <v>1456.3999999999996</v>
      </c>
      <c r="M18" s="81"/>
      <c r="N18" s="81"/>
      <c r="O18" s="82">
        <v>159.483</v>
      </c>
      <c r="P18" s="83">
        <f>O18*P3</f>
        <v>763.92357000000004</v>
      </c>
      <c r="Q18" s="84"/>
      <c r="R18" s="84">
        <f t="shared" si="3"/>
        <v>1296.9169999999997</v>
      </c>
      <c r="S18" s="85">
        <f>R18*P3</f>
        <v>6212.2324299999982</v>
      </c>
    </row>
    <row r="19" spans="1:19" ht="31.5" customHeight="1" x14ac:dyDescent="0.25">
      <c r="A19" s="75">
        <v>45170</v>
      </c>
      <c r="B19" s="76">
        <v>3375.7</v>
      </c>
      <c r="C19" s="76">
        <v>221.5</v>
      </c>
      <c r="D19" s="77" t="s">
        <v>36</v>
      </c>
      <c r="E19" s="76" t="s">
        <v>23</v>
      </c>
      <c r="F19" s="78">
        <v>5438.8</v>
      </c>
      <c r="G19" s="78">
        <f>4070+4731+1367</f>
        <v>10168</v>
      </c>
      <c r="H19" s="78">
        <f>165+14+15</f>
        <v>194</v>
      </c>
      <c r="I19" s="78">
        <f t="shared" si="0"/>
        <v>-4923.2</v>
      </c>
      <c r="J19" s="79">
        <f t="shared" si="2"/>
        <v>-4923.2</v>
      </c>
      <c r="K19" s="192" t="s">
        <v>87</v>
      </c>
      <c r="L19" s="80">
        <v>0</v>
      </c>
      <c r="M19" s="81"/>
      <c r="N19" s="81"/>
      <c r="O19" s="82">
        <v>159.483</v>
      </c>
      <c r="P19" s="83">
        <f>O19*P3</f>
        <v>763.92357000000004</v>
      </c>
      <c r="Q19" s="84">
        <f t="shared" ref="Q19:Q22" si="4">L19-O19</f>
        <v>-159.483</v>
      </c>
      <c r="R19" s="84"/>
      <c r="S19" s="86">
        <f>Q19*P3</f>
        <v>-763.92357000000004</v>
      </c>
    </row>
    <row r="20" spans="1:19" ht="31.5" customHeight="1" x14ac:dyDescent="0.25">
      <c r="A20" s="75">
        <v>45200</v>
      </c>
      <c r="B20" s="76">
        <v>3375.7</v>
      </c>
      <c r="C20" s="76">
        <v>221.5</v>
      </c>
      <c r="D20" s="77" t="s">
        <v>36</v>
      </c>
      <c r="E20" s="76" t="s">
        <v>23</v>
      </c>
      <c r="F20" s="78">
        <v>6175.04</v>
      </c>
      <c r="G20" s="78">
        <f>6814+448+146</f>
        <v>7408</v>
      </c>
      <c r="H20" s="78">
        <f>160+14+15</f>
        <v>189</v>
      </c>
      <c r="I20" s="78">
        <f t="shared" si="0"/>
        <v>-1421.96</v>
      </c>
      <c r="J20" s="79">
        <f>I20+J19</f>
        <v>-6345.16</v>
      </c>
      <c r="K20" s="192" t="s">
        <v>88</v>
      </c>
      <c r="L20" s="80">
        <v>0</v>
      </c>
      <c r="M20" s="81"/>
      <c r="N20" s="81"/>
      <c r="O20" s="82">
        <v>159.483</v>
      </c>
      <c r="P20" s="83">
        <f>O20*P3</f>
        <v>763.92357000000004</v>
      </c>
      <c r="Q20" s="84">
        <f t="shared" si="4"/>
        <v>-159.483</v>
      </c>
      <c r="R20" s="84"/>
      <c r="S20" s="86">
        <f>Q20*P3</f>
        <v>-763.92357000000004</v>
      </c>
    </row>
    <row r="21" spans="1:19" ht="31.5" customHeight="1" x14ac:dyDescent="0.25">
      <c r="A21" s="75">
        <v>45231</v>
      </c>
      <c r="B21" s="76">
        <v>3375.7</v>
      </c>
      <c r="C21" s="76">
        <v>221.5</v>
      </c>
      <c r="D21" s="77" t="s">
        <v>36</v>
      </c>
      <c r="E21" s="76" t="s">
        <v>23</v>
      </c>
      <c r="F21" s="78">
        <v>5950.4</v>
      </c>
      <c r="G21" s="78">
        <f>4417+448+146</f>
        <v>5011</v>
      </c>
      <c r="H21" s="78">
        <f>170+14+15</f>
        <v>199</v>
      </c>
      <c r="I21" s="78">
        <f t="shared" si="0"/>
        <v>740.39999999999964</v>
      </c>
      <c r="J21" s="79">
        <f>I21+J20</f>
        <v>-5604.76</v>
      </c>
      <c r="K21" s="192" t="s">
        <v>89</v>
      </c>
      <c r="L21" s="80">
        <v>0</v>
      </c>
      <c r="M21" s="81"/>
      <c r="N21" s="81"/>
      <c r="O21" s="82">
        <v>159.483</v>
      </c>
      <c r="P21" s="83">
        <f>O21*P3</f>
        <v>763.92357000000004</v>
      </c>
      <c r="Q21" s="84">
        <f t="shared" si="4"/>
        <v>-159.483</v>
      </c>
      <c r="R21" s="84"/>
      <c r="S21" s="86">
        <f>Q21*P3</f>
        <v>-763.92357000000004</v>
      </c>
    </row>
    <row r="22" spans="1:19" ht="31.5" customHeight="1" x14ac:dyDescent="0.25">
      <c r="A22" s="75">
        <v>45261</v>
      </c>
      <c r="B22" s="76">
        <v>3375.7</v>
      </c>
      <c r="C22" s="76">
        <v>221.5</v>
      </c>
      <c r="D22" s="77" t="s">
        <v>36</v>
      </c>
      <c r="E22" s="76" t="s">
        <v>23</v>
      </c>
      <c r="F22" s="78">
        <v>5733.28</v>
      </c>
      <c r="G22" s="78">
        <f>5000+448+146</f>
        <v>5594</v>
      </c>
      <c r="H22" s="78">
        <f>183+14+15</f>
        <v>212</v>
      </c>
      <c r="I22" s="78">
        <f t="shared" si="0"/>
        <v>-72.720000000000255</v>
      </c>
      <c r="J22" s="79">
        <f t="shared" si="2"/>
        <v>-72.720000000000255</v>
      </c>
      <c r="K22" s="193" t="s">
        <v>90</v>
      </c>
      <c r="L22" s="80">
        <v>0</v>
      </c>
      <c r="M22" s="81"/>
      <c r="N22" s="81"/>
      <c r="O22" s="82">
        <v>159.483</v>
      </c>
      <c r="P22" s="83">
        <f>O22*P3</f>
        <v>763.92357000000004</v>
      </c>
      <c r="Q22" s="84">
        <f t="shared" si="4"/>
        <v>-159.483</v>
      </c>
      <c r="R22" s="84"/>
      <c r="S22" s="86">
        <f>Q22*P3</f>
        <v>-763.92357000000004</v>
      </c>
    </row>
    <row r="23" spans="1:19" s="72" customFormat="1" ht="31.5" customHeight="1" x14ac:dyDescent="0.25">
      <c r="A23" s="96"/>
      <c r="L23" s="72">
        <f>SUM(L11:L22)</f>
        <v>5279.72</v>
      </c>
      <c r="O23" s="72">
        <f>SUM(O11:O22)</f>
        <v>1913.7959999999996</v>
      </c>
      <c r="P23" s="72">
        <f>SUM(P11:P22)</f>
        <v>9167.0828400000009</v>
      </c>
      <c r="R23" s="72">
        <f>SUM(Q11:R22)</f>
        <v>3365.9239999999991</v>
      </c>
      <c r="S23" s="72">
        <f>SUM(S11:S22)</f>
        <v>16122.775960000004</v>
      </c>
    </row>
    <row r="24" spans="1:19" s="72" customFormat="1" ht="31.5" customHeight="1" x14ac:dyDescent="0.25">
      <c r="A24" s="96"/>
      <c r="L24" s="72">
        <f>L23*P3</f>
        <v>25289.858800000002</v>
      </c>
    </row>
    <row r="25" spans="1:19" s="72" customFormat="1" ht="31.5" customHeight="1" x14ac:dyDescent="0.25">
      <c r="A25" s="96"/>
    </row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</sheetData>
  <mergeCells count="22"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  <mergeCell ref="S4:S5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zoomScale="78" zoomScaleNormal="78" workbookViewId="0">
      <selection activeCell="K11" sqref="K11:K22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44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39.75" hidden="1" customHeight="1" x14ac:dyDescent="0.25">
      <c r="A7" s="23">
        <v>44805</v>
      </c>
      <c r="B7" s="13">
        <v>3177.6</v>
      </c>
      <c r="C7" s="13">
        <v>988.7</v>
      </c>
      <c r="D7" s="24" t="s">
        <v>45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722</v>
      </c>
      <c r="M7" s="37"/>
      <c r="N7" s="37"/>
      <c r="O7" s="68">
        <v>721.75300000000004</v>
      </c>
      <c r="P7" s="38">
        <f>O7*P2</f>
        <v>3175.7132000000006</v>
      </c>
      <c r="Q7" s="37"/>
      <c r="R7" s="37"/>
      <c r="S7" s="20">
        <v>0</v>
      </c>
    </row>
    <row r="8" spans="1:19" ht="39.75" hidden="1" customHeight="1" x14ac:dyDescent="0.25">
      <c r="A8" s="23">
        <v>44835</v>
      </c>
      <c r="B8" s="13">
        <v>3177.6</v>
      </c>
      <c r="C8" s="13">
        <v>988.7</v>
      </c>
      <c r="D8" s="24" t="s">
        <v>45</v>
      </c>
      <c r="E8" s="13" t="s">
        <v>23</v>
      </c>
      <c r="F8" s="14">
        <v>5562.88</v>
      </c>
      <c r="G8" s="14">
        <f>5975+72+29</f>
        <v>6076</v>
      </c>
      <c r="H8" s="14">
        <f>1620+34+28+15</f>
        <v>1697</v>
      </c>
      <c r="I8" s="14">
        <f>F8-(G8+H8)</f>
        <v>-2210.12</v>
      </c>
      <c r="J8" s="35">
        <f>I8</f>
        <v>-2210.12</v>
      </c>
      <c r="K8" s="39" t="s">
        <v>64</v>
      </c>
      <c r="L8" s="46">
        <v>0</v>
      </c>
      <c r="M8" s="41">
        <f>L8*(1/B8)</f>
        <v>0</v>
      </c>
      <c r="N8" s="41">
        <f>M8*P2</f>
        <v>0</v>
      </c>
      <c r="O8" s="68">
        <v>721.75300000000004</v>
      </c>
      <c r="P8" s="38">
        <f>O8*P2</f>
        <v>3175.7132000000006</v>
      </c>
      <c r="Q8" s="62">
        <f>O8</f>
        <v>721.75300000000004</v>
      </c>
      <c r="R8" s="40"/>
      <c r="S8" s="20">
        <f>-(Q8*P2)</f>
        <v>-3175.7132000000006</v>
      </c>
    </row>
    <row r="9" spans="1:19" ht="39.75" hidden="1" customHeight="1" x14ac:dyDescent="0.25">
      <c r="A9" s="23">
        <v>44866</v>
      </c>
      <c r="B9" s="13">
        <v>3177.6</v>
      </c>
      <c r="C9" s="13">
        <v>988.7</v>
      </c>
      <c r="D9" s="24" t="s">
        <v>45</v>
      </c>
      <c r="E9" s="13" t="s">
        <v>23</v>
      </c>
      <c r="F9" s="9">
        <v>6281.04</v>
      </c>
      <c r="G9" s="5">
        <f>6387+72+29</f>
        <v>6488</v>
      </c>
      <c r="H9" s="5">
        <f>34+28+15</f>
        <v>77</v>
      </c>
      <c r="I9" s="14">
        <f t="shared" ref="I9:I22" si="0">F9-(G9+H9)</f>
        <v>-283.96000000000004</v>
      </c>
      <c r="J9" s="35">
        <f>J8+I9</f>
        <v>-2494.08</v>
      </c>
      <c r="K9" s="39" t="s">
        <v>66</v>
      </c>
      <c r="L9" s="46">
        <v>0</v>
      </c>
      <c r="M9" s="40"/>
      <c r="N9" s="40"/>
      <c r="O9" s="68">
        <v>721.75300000000004</v>
      </c>
      <c r="P9" s="43">
        <f>O9*P2</f>
        <v>3175.7132000000006</v>
      </c>
      <c r="Q9" s="62">
        <f>O9</f>
        <v>721.75300000000004</v>
      </c>
      <c r="R9" s="40"/>
      <c r="S9" s="20">
        <f>-(Q9*P2)</f>
        <v>-3175.7132000000006</v>
      </c>
    </row>
    <row r="10" spans="1:19" ht="39.75" hidden="1" customHeight="1" x14ac:dyDescent="0.25">
      <c r="A10" s="23">
        <v>44896</v>
      </c>
      <c r="B10" s="5">
        <v>3177.6</v>
      </c>
      <c r="C10" s="5">
        <v>988.7</v>
      </c>
      <c r="D10" s="24" t="s">
        <v>45</v>
      </c>
      <c r="E10" s="5" t="s">
        <v>23</v>
      </c>
      <c r="F10" s="9">
        <v>5907</v>
      </c>
      <c r="G10" s="5">
        <f>4027+560+317</f>
        <v>4904</v>
      </c>
      <c r="H10" s="5">
        <f>34+28+15</f>
        <v>77</v>
      </c>
      <c r="I10" s="8">
        <f t="shared" si="0"/>
        <v>926</v>
      </c>
      <c r="J10" s="35">
        <f>J9+I10</f>
        <v>-1568.08</v>
      </c>
      <c r="K10" s="39" t="s">
        <v>67</v>
      </c>
      <c r="L10" s="46">
        <v>0</v>
      </c>
      <c r="M10" s="40"/>
      <c r="N10" s="40"/>
      <c r="O10" s="70">
        <v>721.75300000000004</v>
      </c>
      <c r="P10" s="43">
        <f>O10*P2</f>
        <v>3175.7132000000006</v>
      </c>
      <c r="Q10" s="62">
        <f>O10</f>
        <v>721.75300000000004</v>
      </c>
      <c r="R10" s="42"/>
      <c r="S10" s="20">
        <f>Q10*P3</f>
        <v>3457.1968700000002</v>
      </c>
    </row>
    <row r="11" spans="1:19" ht="31.5" customHeight="1" x14ac:dyDescent="0.25">
      <c r="A11" s="75">
        <v>44927</v>
      </c>
      <c r="B11" s="76">
        <v>3177.6</v>
      </c>
      <c r="C11" s="76">
        <v>988.7</v>
      </c>
      <c r="D11" s="77" t="s">
        <v>45</v>
      </c>
      <c r="E11" s="76" t="s">
        <v>23</v>
      </c>
      <c r="F11" s="78">
        <v>6070.96</v>
      </c>
      <c r="G11" s="78">
        <f>5220+166+83</f>
        <v>5469</v>
      </c>
      <c r="H11" s="78">
        <f>34+28+15</f>
        <v>77</v>
      </c>
      <c r="I11" s="78">
        <f t="shared" si="0"/>
        <v>524.96</v>
      </c>
      <c r="J11" s="79">
        <f>-I11</f>
        <v>-524.96</v>
      </c>
      <c r="K11" s="192" t="s">
        <v>80</v>
      </c>
      <c r="L11" s="80">
        <f>IF(J11&lt;0,0,I11)</f>
        <v>0</v>
      </c>
      <c r="M11" s="81"/>
      <c r="N11" s="81"/>
      <c r="O11" s="88">
        <v>721.75300000000004</v>
      </c>
      <c r="P11" s="83">
        <f>O11*P3</f>
        <v>3457.1968700000002</v>
      </c>
      <c r="Q11" s="84">
        <f>-O11</f>
        <v>-721.75300000000004</v>
      </c>
      <c r="R11" s="84"/>
      <c r="S11" s="85">
        <f>Q11*P3</f>
        <v>-3457.1968700000002</v>
      </c>
    </row>
    <row r="12" spans="1:19" ht="31.5" customHeight="1" x14ac:dyDescent="0.25">
      <c r="A12" s="75">
        <v>44958</v>
      </c>
      <c r="B12" s="76">
        <v>3177.6</v>
      </c>
      <c r="C12" s="76">
        <v>988.7</v>
      </c>
      <c r="D12" s="77" t="s">
        <v>45</v>
      </c>
      <c r="E12" s="76" t="s">
        <v>23</v>
      </c>
      <c r="F12" s="78">
        <v>4242.4799999999996</v>
      </c>
      <c r="G12" s="78">
        <f>5232+154+60</f>
        <v>5446</v>
      </c>
      <c r="H12" s="78">
        <f>34+28+15</f>
        <v>77</v>
      </c>
      <c r="I12" s="78">
        <f t="shared" si="0"/>
        <v>-1280.5200000000004</v>
      </c>
      <c r="J12" s="79">
        <f>I12+J11</f>
        <v>-1805.4800000000005</v>
      </c>
      <c r="K12" s="192"/>
      <c r="L12" s="80">
        <f t="shared" ref="L12:L22" si="1">IF(J12&lt;0,0,I12)</f>
        <v>0</v>
      </c>
      <c r="M12" s="81"/>
      <c r="N12" s="81"/>
      <c r="O12" s="88">
        <v>721.75300000000004</v>
      </c>
      <c r="P12" s="83">
        <f>O12*P3</f>
        <v>3457.1968700000002</v>
      </c>
      <c r="Q12" s="84">
        <f t="shared" ref="Q12:Q14" si="2">-O12</f>
        <v>-721.75300000000004</v>
      </c>
      <c r="R12" s="84"/>
      <c r="S12" s="86">
        <f>Q12*P3</f>
        <v>-3457.1968700000002</v>
      </c>
    </row>
    <row r="13" spans="1:19" ht="31.5" customHeight="1" x14ac:dyDescent="0.25">
      <c r="A13" s="75">
        <v>44986</v>
      </c>
      <c r="B13" s="76">
        <v>3177.6</v>
      </c>
      <c r="C13" s="76">
        <v>988.7</v>
      </c>
      <c r="D13" s="77" t="s">
        <v>45</v>
      </c>
      <c r="E13" s="76" t="s">
        <v>23</v>
      </c>
      <c r="F13" s="78">
        <v>6316.32</v>
      </c>
      <c r="G13" s="78">
        <f>5260+103+11</f>
        <v>5374</v>
      </c>
      <c r="H13" s="78">
        <f>34+28+15</f>
        <v>77</v>
      </c>
      <c r="I13" s="78">
        <f t="shared" si="0"/>
        <v>865.31999999999971</v>
      </c>
      <c r="J13" s="79">
        <f>I13+J12</f>
        <v>-940.16000000000076</v>
      </c>
      <c r="K13" s="192" t="s">
        <v>81</v>
      </c>
      <c r="L13" s="80">
        <f t="shared" si="1"/>
        <v>0</v>
      </c>
      <c r="M13" s="81"/>
      <c r="N13" s="81"/>
      <c r="O13" s="88">
        <v>721.75300000000004</v>
      </c>
      <c r="P13" s="83">
        <f>O13*P3</f>
        <v>3457.1968700000002</v>
      </c>
      <c r="Q13" s="84">
        <f t="shared" si="2"/>
        <v>-721.75300000000004</v>
      </c>
      <c r="R13" s="84"/>
      <c r="S13" s="86">
        <f>Q13*P3</f>
        <v>-3457.1968700000002</v>
      </c>
    </row>
    <row r="14" spans="1:19" ht="31.5" customHeight="1" x14ac:dyDescent="0.25">
      <c r="A14" s="75">
        <v>45017</v>
      </c>
      <c r="B14" s="76">
        <v>3177.6</v>
      </c>
      <c r="C14" s="76">
        <v>988.7</v>
      </c>
      <c r="D14" s="77" t="s">
        <v>45</v>
      </c>
      <c r="E14" s="76" t="s">
        <v>23</v>
      </c>
      <c r="F14" s="78">
        <v>5328.24</v>
      </c>
      <c r="G14" s="78">
        <f>4534+156+56</f>
        <v>4746</v>
      </c>
      <c r="H14" s="78">
        <f t="shared" ref="H14:H22" si="3">34+28+15</f>
        <v>77</v>
      </c>
      <c r="I14" s="78">
        <f t="shared" si="0"/>
        <v>505.23999999999978</v>
      </c>
      <c r="J14" s="79">
        <f>I14+J13</f>
        <v>-434.92000000000098</v>
      </c>
      <c r="K14" s="192" t="s">
        <v>82</v>
      </c>
      <c r="L14" s="80">
        <v>0</v>
      </c>
      <c r="M14" s="81"/>
      <c r="N14" s="81"/>
      <c r="O14" s="88">
        <v>721.75300000000004</v>
      </c>
      <c r="P14" s="83">
        <f>O14*P3</f>
        <v>3457.1968700000002</v>
      </c>
      <c r="Q14" s="84">
        <f t="shared" si="2"/>
        <v>-721.75300000000004</v>
      </c>
      <c r="R14" s="84"/>
      <c r="S14" s="86">
        <f>Q14*P3</f>
        <v>-3457.1968700000002</v>
      </c>
    </row>
    <row r="15" spans="1:19" ht="31.5" customHeight="1" x14ac:dyDescent="0.25">
      <c r="A15" s="75">
        <v>45047</v>
      </c>
      <c r="B15" s="76">
        <v>3177.6</v>
      </c>
      <c r="C15" s="76">
        <v>988.7</v>
      </c>
      <c r="D15" s="77" t="s">
        <v>45</v>
      </c>
      <c r="E15" s="76" t="s">
        <v>23</v>
      </c>
      <c r="F15" s="78">
        <v>7116.4</v>
      </c>
      <c r="G15" s="78">
        <f>4353+239+102</f>
        <v>4694</v>
      </c>
      <c r="H15" s="78">
        <f t="shared" si="3"/>
        <v>77</v>
      </c>
      <c r="I15" s="78">
        <f t="shared" si="0"/>
        <v>2345.3999999999996</v>
      </c>
      <c r="J15" s="79">
        <f>I15-954</f>
        <v>1391.3999999999996</v>
      </c>
      <c r="K15" s="192" t="s">
        <v>83</v>
      </c>
      <c r="L15" s="80">
        <f>J15</f>
        <v>1391.3999999999996</v>
      </c>
      <c r="M15" s="81"/>
      <c r="N15" s="81"/>
      <c r="O15" s="88">
        <v>721.75300000000004</v>
      </c>
      <c r="P15" s="83">
        <f>O15*P3</f>
        <v>3457.1968700000002</v>
      </c>
      <c r="Q15" s="84"/>
      <c r="R15" s="84">
        <f t="shared" ref="R15:R19" si="4">J15-O15</f>
        <v>669.64699999999959</v>
      </c>
      <c r="S15" s="85">
        <f>R15*P3</f>
        <v>3207.609129999998</v>
      </c>
    </row>
    <row r="16" spans="1:19" ht="31.5" customHeight="1" x14ac:dyDescent="0.25">
      <c r="A16" s="75">
        <v>45078</v>
      </c>
      <c r="B16" s="76">
        <v>3177.6</v>
      </c>
      <c r="C16" s="76">
        <v>988.7</v>
      </c>
      <c r="D16" s="77" t="s">
        <v>45</v>
      </c>
      <c r="E16" s="76" t="s">
        <v>23</v>
      </c>
      <c r="F16" s="78">
        <v>5670.64</v>
      </c>
      <c r="G16" s="78">
        <f>5721+126+34</f>
        <v>5881</v>
      </c>
      <c r="H16" s="78">
        <f t="shared" si="3"/>
        <v>77</v>
      </c>
      <c r="I16" s="78">
        <f t="shared" si="0"/>
        <v>-287.35999999999967</v>
      </c>
      <c r="J16" s="79">
        <f t="shared" ref="J16:J20" si="5">I16</f>
        <v>-287.35999999999967</v>
      </c>
      <c r="K16" s="192" t="s">
        <v>84</v>
      </c>
      <c r="L16" s="80">
        <f t="shared" si="1"/>
        <v>0</v>
      </c>
      <c r="M16" s="81"/>
      <c r="N16" s="81"/>
      <c r="O16" s="88">
        <v>721.75300000000004</v>
      </c>
      <c r="P16" s="83">
        <f>O16*P3</f>
        <v>3457.1968700000002</v>
      </c>
      <c r="Q16" s="84">
        <f>-O16</f>
        <v>-721.75300000000004</v>
      </c>
      <c r="R16" s="84"/>
      <c r="S16" s="86">
        <f>Q16*P3</f>
        <v>-3457.1968700000002</v>
      </c>
    </row>
    <row r="17" spans="1:19" ht="31.5" customHeight="1" x14ac:dyDescent="0.25">
      <c r="A17" s="75">
        <v>45108</v>
      </c>
      <c r="B17" s="76">
        <v>3177.6</v>
      </c>
      <c r="C17" s="76">
        <v>988.7</v>
      </c>
      <c r="D17" s="77" t="s">
        <v>45</v>
      </c>
      <c r="E17" s="76" t="s">
        <v>23</v>
      </c>
      <c r="F17" s="78">
        <v>4998.96</v>
      </c>
      <c r="G17" s="78">
        <f>4865+118+41</f>
        <v>5024</v>
      </c>
      <c r="H17" s="78">
        <f t="shared" si="3"/>
        <v>77</v>
      </c>
      <c r="I17" s="78">
        <f t="shared" si="0"/>
        <v>-102.03999999999996</v>
      </c>
      <c r="J17" s="79">
        <f>I17+J16</f>
        <v>-389.39999999999964</v>
      </c>
      <c r="K17" s="192" t="s">
        <v>85</v>
      </c>
      <c r="L17" s="80">
        <f t="shared" si="1"/>
        <v>0</v>
      </c>
      <c r="M17" s="81"/>
      <c r="N17" s="81"/>
      <c r="O17" s="88">
        <v>721.75300000000004</v>
      </c>
      <c r="P17" s="83">
        <f>O17*P3</f>
        <v>3457.1968700000002</v>
      </c>
      <c r="Q17" s="84">
        <f>-O17</f>
        <v>-721.75300000000004</v>
      </c>
      <c r="R17" s="84"/>
      <c r="S17" s="86">
        <f>Q17*P3</f>
        <v>-3457.1968700000002</v>
      </c>
    </row>
    <row r="18" spans="1:19" ht="31.5" customHeight="1" x14ac:dyDescent="0.25">
      <c r="A18" s="75">
        <v>45139</v>
      </c>
      <c r="B18" s="76">
        <v>3177.6</v>
      </c>
      <c r="C18" s="76">
        <v>988.7</v>
      </c>
      <c r="D18" s="77" t="s">
        <v>45</v>
      </c>
      <c r="E18" s="76" t="s">
        <v>23</v>
      </c>
      <c r="F18" s="78">
        <v>5812.48</v>
      </c>
      <c r="G18" s="78">
        <f>4237+146+109</f>
        <v>4492</v>
      </c>
      <c r="H18" s="78">
        <f t="shared" si="3"/>
        <v>77</v>
      </c>
      <c r="I18" s="78">
        <f t="shared" si="0"/>
        <v>1243.4799999999996</v>
      </c>
      <c r="J18" s="79">
        <f>I18+J17</f>
        <v>854.07999999999993</v>
      </c>
      <c r="K18" s="192" t="s">
        <v>86</v>
      </c>
      <c r="L18" s="80">
        <f>J18</f>
        <v>854.07999999999993</v>
      </c>
      <c r="M18" s="81"/>
      <c r="N18" s="81"/>
      <c r="O18" s="88">
        <v>721.75300000000004</v>
      </c>
      <c r="P18" s="83">
        <f>O18*P3</f>
        <v>3457.1968700000002</v>
      </c>
      <c r="Q18" s="84"/>
      <c r="R18" s="84">
        <f>L18-O18</f>
        <v>132.32699999999988</v>
      </c>
      <c r="S18" s="85">
        <f>R18*P3</f>
        <v>633.8463299999994</v>
      </c>
    </row>
    <row r="19" spans="1:19" ht="31.5" customHeight="1" x14ac:dyDescent="0.25">
      <c r="A19" s="75">
        <v>45170</v>
      </c>
      <c r="B19" s="76">
        <v>3177.6</v>
      </c>
      <c r="C19" s="76">
        <v>988.7</v>
      </c>
      <c r="D19" s="77" t="s">
        <v>45</v>
      </c>
      <c r="E19" s="76" t="s">
        <v>23</v>
      </c>
      <c r="F19" s="78">
        <v>5975.12</v>
      </c>
      <c r="G19" s="78">
        <f>4387+193+77</f>
        <v>4657</v>
      </c>
      <c r="H19" s="78">
        <f t="shared" si="3"/>
        <v>77</v>
      </c>
      <c r="I19" s="78">
        <f t="shared" si="0"/>
        <v>1241.1199999999999</v>
      </c>
      <c r="J19" s="79">
        <f t="shared" si="5"/>
        <v>1241.1199999999999</v>
      </c>
      <c r="K19" s="192" t="s">
        <v>87</v>
      </c>
      <c r="L19" s="80">
        <f t="shared" si="1"/>
        <v>1241.1199999999999</v>
      </c>
      <c r="M19" s="81"/>
      <c r="N19" s="81"/>
      <c r="O19" s="88">
        <v>721.75300000000004</v>
      </c>
      <c r="P19" s="83">
        <f>O19*P3</f>
        <v>3457.1968700000002</v>
      </c>
      <c r="Q19" s="84"/>
      <c r="R19" s="84">
        <f t="shared" si="4"/>
        <v>519.36699999999985</v>
      </c>
      <c r="S19" s="85">
        <f>R19*P3</f>
        <v>2487.7679299999991</v>
      </c>
    </row>
    <row r="20" spans="1:19" ht="31.5" customHeight="1" x14ac:dyDescent="0.25">
      <c r="A20" s="75">
        <v>45200</v>
      </c>
      <c r="B20" s="76">
        <v>3177.6</v>
      </c>
      <c r="C20" s="76">
        <v>988.7</v>
      </c>
      <c r="D20" s="77" t="s">
        <v>45</v>
      </c>
      <c r="E20" s="76" t="s">
        <v>23</v>
      </c>
      <c r="F20" s="78">
        <v>6867.76</v>
      </c>
      <c r="G20" s="78">
        <f>6988+346+90</f>
        <v>7424</v>
      </c>
      <c r="H20" s="78">
        <f t="shared" si="3"/>
        <v>77</v>
      </c>
      <c r="I20" s="78">
        <f t="shared" si="0"/>
        <v>-633.23999999999978</v>
      </c>
      <c r="J20" s="79">
        <f t="shared" si="5"/>
        <v>-633.23999999999978</v>
      </c>
      <c r="K20" s="192" t="s">
        <v>88</v>
      </c>
      <c r="L20" s="80">
        <f t="shared" si="1"/>
        <v>0</v>
      </c>
      <c r="M20" s="81"/>
      <c r="N20" s="81"/>
      <c r="O20" s="88">
        <v>721.75300000000004</v>
      </c>
      <c r="P20" s="83">
        <f>O20*P3</f>
        <v>3457.1968700000002</v>
      </c>
      <c r="Q20" s="84">
        <f t="shared" ref="Q20:Q22" si="6">-O20</f>
        <v>-721.75300000000004</v>
      </c>
      <c r="R20" s="84"/>
      <c r="S20" s="86">
        <f>Q20*P3</f>
        <v>-3457.1968700000002</v>
      </c>
    </row>
    <row r="21" spans="1:19" ht="31.5" customHeight="1" x14ac:dyDescent="0.25">
      <c r="A21" s="75">
        <v>45231</v>
      </c>
      <c r="B21" s="76">
        <v>3177.6</v>
      </c>
      <c r="C21" s="76">
        <v>988.7</v>
      </c>
      <c r="D21" s="77" t="s">
        <v>45</v>
      </c>
      <c r="E21" s="76" t="s">
        <v>23</v>
      </c>
      <c r="F21" s="78">
        <v>5672.08</v>
      </c>
      <c r="G21" s="78">
        <f>5306+165+45</f>
        <v>5516</v>
      </c>
      <c r="H21" s="78">
        <f t="shared" si="3"/>
        <v>77</v>
      </c>
      <c r="I21" s="78">
        <f t="shared" si="0"/>
        <v>79.079999999999927</v>
      </c>
      <c r="J21" s="79">
        <f>I21+J20</f>
        <v>-554.15999999999985</v>
      </c>
      <c r="K21" s="192" t="s">
        <v>89</v>
      </c>
      <c r="L21" s="80">
        <f t="shared" si="1"/>
        <v>0</v>
      </c>
      <c r="M21" s="81"/>
      <c r="N21" s="81"/>
      <c r="O21" s="88">
        <v>721.75300000000004</v>
      </c>
      <c r="P21" s="83">
        <f>O21*P3</f>
        <v>3457.1968700000002</v>
      </c>
      <c r="Q21" s="84">
        <f t="shared" si="6"/>
        <v>-721.75300000000004</v>
      </c>
      <c r="R21" s="84"/>
      <c r="S21" s="86">
        <f>Q21*P3</f>
        <v>-3457.1968700000002</v>
      </c>
    </row>
    <row r="22" spans="1:19" ht="31.5" customHeight="1" x14ac:dyDescent="0.25">
      <c r="A22" s="75">
        <v>45261</v>
      </c>
      <c r="B22" s="76">
        <v>3177.6</v>
      </c>
      <c r="C22" s="76">
        <v>988.7</v>
      </c>
      <c r="D22" s="77" t="s">
        <v>45</v>
      </c>
      <c r="E22" s="76" t="s">
        <v>23</v>
      </c>
      <c r="F22" s="78">
        <v>5541.6</v>
      </c>
      <c r="G22" s="78">
        <f>4937+173+62</f>
        <v>5172</v>
      </c>
      <c r="H22" s="78">
        <f t="shared" si="3"/>
        <v>77</v>
      </c>
      <c r="I22" s="78">
        <f t="shared" si="0"/>
        <v>292.60000000000036</v>
      </c>
      <c r="J22" s="79">
        <f>I22+J21</f>
        <v>-261.55999999999949</v>
      </c>
      <c r="K22" s="193" t="s">
        <v>90</v>
      </c>
      <c r="L22" s="80">
        <f t="shared" si="1"/>
        <v>0</v>
      </c>
      <c r="M22" s="81"/>
      <c r="N22" s="81"/>
      <c r="O22" s="88">
        <v>721.75300000000004</v>
      </c>
      <c r="P22" s="83">
        <f>O22*P3</f>
        <v>3457.1968700000002</v>
      </c>
      <c r="Q22" s="84">
        <f t="shared" si="6"/>
        <v>-721.75300000000004</v>
      </c>
      <c r="R22" s="84"/>
      <c r="S22" s="86">
        <f>Q22*P3</f>
        <v>-3457.1968700000002</v>
      </c>
    </row>
    <row r="23" spans="1:19" ht="31.5" customHeight="1" x14ac:dyDescent="0.25">
      <c r="L23" s="94">
        <f>SUM(L11:L22)</f>
        <v>3486.5999999999995</v>
      </c>
      <c r="O23" s="93">
        <f>SUM(O11:O22)</f>
        <v>8661.0359999999982</v>
      </c>
      <c r="P23" s="72">
        <f>SUM(P11:P22)</f>
        <v>41486.362440000004</v>
      </c>
      <c r="R23" s="93">
        <f>SUM(Q11:R22)</f>
        <v>-5174.4360000000015</v>
      </c>
      <c r="S23" s="72">
        <f>SUM(S11:S22)</f>
        <v>-24785.548440000002</v>
      </c>
    </row>
    <row r="24" spans="1:19" ht="31.5" customHeight="1" x14ac:dyDescent="0.25">
      <c r="L24" s="95">
        <f>L23*P3</f>
        <v>16700.813999999998</v>
      </c>
    </row>
    <row r="25" spans="1:19" ht="15.75" customHeight="1" x14ac:dyDescent="0.25">
      <c r="O25" s="94"/>
      <c r="P25" s="94"/>
    </row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</sheetData>
  <mergeCells count="22"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  <mergeCell ref="S4:S5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77" zoomScaleNormal="77" workbookViewId="0">
      <selection activeCell="K15" sqref="K15:K38"/>
    </sheetView>
  </sheetViews>
  <sheetFormatPr defaultRowHeight="15" x14ac:dyDescent="0.25"/>
  <cols>
    <col min="1" max="1" width="13.85546875" style="3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46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37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57</v>
      </c>
      <c r="N4" s="140" t="s">
        <v>56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37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20.100000000000001" hidden="1" customHeight="1" x14ac:dyDescent="0.25">
      <c r="A7" s="23">
        <v>44805</v>
      </c>
      <c r="B7" s="121">
        <v>8002.7</v>
      </c>
      <c r="C7" s="121">
        <v>2486</v>
      </c>
      <c r="D7" s="24" t="s">
        <v>47</v>
      </c>
      <c r="E7" s="121" t="s">
        <v>23</v>
      </c>
      <c r="F7" s="135"/>
      <c r="G7" s="135"/>
      <c r="H7" s="135"/>
      <c r="I7" s="135"/>
      <c r="J7" s="144"/>
      <c r="K7" s="111" t="s">
        <v>65</v>
      </c>
      <c r="L7" s="113">
        <v>1999</v>
      </c>
      <c r="M7" s="159"/>
      <c r="N7" s="159"/>
      <c r="O7" s="117">
        <v>1988.4549999999999</v>
      </c>
      <c r="P7" s="130">
        <f>O7*P2</f>
        <v>8749.2020000000011</v>
      </c>
      <c r="Q7" s="113">
        <v>0</v>
      </c>
      <c r="R7" s="113">
        <v>0</v>
      </c>
      <c r="S7" s="158">
        <v>0</v>
      </c>
    </row>
    <row r="8" spans="1:19" ht="20.100000000000001" hidden="1" customHeight="1" x14ac:dyDescent="0.25">
      <c r="A8" s="23">
        <v>44805</v>
      </c>
      <c r="B8" s="122"/>
      <c r="C8" s="122"/>
      <c r="D8" s="24" t="s">
        <v>48</v>
      </c>
      <c r="E8" s="122"/>
      <c r="F8" s="136"/>
      <c r="G8" s="136"/>
      <c r="H8" s="136"/>
      <c r="I8" s="136"/>
      <c r="J8" s="145"/>
      <c r="K8" s="112"/>
      <c r="L8" s="114"/>
      <c r="M8" s="160"/>
      <c r="N8" s="160"/>
      <c r="O8" s="118"/>
      <c r="P8" s="131"/>
      <c r="Q8" s="114"/>
      <c r="R8" s="114"/>
      <c r="S8" s="158"/>
    </row>
    <row r="9" spans="1:19" ht="20.100000000000001" hidden="1" customHeight="1" x14ac:dyDescent="0.25">
      <c r="A9" s="23">
        <v>44835</v>
      </c>
      <c r="B9" s="121">
        <v>8002.7</v>
      </c>
      <c r="C9" s="121">
        <v>2486</v>
      </c>
      <c r="D9" s="24" t="s">
        <v>47</v>
      </c>
      <c r="E9" s="121" t="s">
        <v>23</v>
      </c>
      <c r="F9" s="135">
        <f>5680.86+9336.24</f>
        <v>15017.099999999999</v>
      </c>
      <c r="G9" s="135">
        <f>13111+734+347</f>
        <v>14192</v>
      </c>
      <c r="H9" s="135">
        <f>50+144+18+27+15+15+15</f>
        <v>284</v>
      </c>
      <c r="I9" s="135">
        <f>F9-(G9+H9)</f>
        <v>541.09999999999854</v>
      </c>
      <c r="J9" s="144">
        <v>541</v>
      </c>
      <c r="K9" s="111" t="s">
        <v>64</v>
      </c>
      <c r="L9" s="113">
        <v>541</v>
      </c>
      <c r="M9" s="115"/>
      <c r="N9" s="115"/>
      <c r="O9" s="117">
        <v>1988.4549999999999</v>
      </c>
      <c r="P9" s="130">
        <f>O9*P2</f>
        <v>8749.2020000000011</v>
      </c>
      <c r="Q9" s="132">
        <f>O9-J9</f>
        <v>1447.4549999999999</v>
      </c>
      <c r="R9" s="132">
        <v>0</v>
      </c>
      <c r="S9" s="158">
        <f>-(Q9*P2)</f>
        <v>-6368.8020000000006</v>
      </c>
    </row>
    <row r="10" spans="1:19" ht="20.100000000000001" hidden="1" customHeight="1" x14ac:dyDescent="0.25">
      <c r="A10" s="23">
        <v>44835</v>
      </c>
      <c r="B10" s="122"/>
      <c r="C10" s="122"/>
      <c r="D10" s="24" t="s">
        <v>48</v>
      </c>
      <c r="E10" s="122"/>
      <c r="F10" s="136"/>
      <c r="G10" s="136"/>
      <c r="H10" s="136"/>
      <c r="I10" s="136"/>
      <c r="J10" s="145"/>
      <c r="K10" s="112"/>
      <c r="L10" s="114"/>
      <c r="M10" s="116"/>
      <c r="N10" s="116"/>
      <c r="O10" s="118"/>
      <c r="P10" s="131"/>
      <c r="Q10" s="133"/>
      <c r="R10" s="133"/>
      <c r="S10" s="158"/>
    </row>
    <row r="11" spans="1:19" ht="15.75" hidden="1" customHeight="1" x14ac:dyDescent="0.25">
      <c r="A11" s="23">
        <v>44866</v>
      </c>
      <c r="B11" s="121">
        <v>8002.7</v>
      </c>
      <c r="C11" s="121">
        <v>2486</v>
      </c>
      <c r="D11" s="24" t="s">
        <v>47</v>
      </c>
      <c r="E11" s="121" t="s">
        <v>23</v>
      </c>
      <c r="F11" s="135">
        <f>6557.46+10292.7</f>
        <v>16850.16</v>
      </c>
      <c r="G11" s="135">
        <f>11234+679+267</f>
        <v>12180</v>
      </c>
      <c r="H11" s="135">
        <f>40+157+18+27+15+15+15</f>
        <v>287</v>
      </c>
      <c r="I11" s="135">
        <f>F11-(G11+H11)</f>
        <v>4383.16</v>
      </c>
      <c r="J11" s="144">
        <v>4383</v>
      </c>
      <c r="K11" s="127" t="s">
        <v>66</v>
      </c>
      <c r="L11" s="119">
        <v>4383</v>
      </c>
      <c r="M11" s="147">
        <f>L11*(1/B11)</f>
        <v>0.54769015457283166</v>
      </c>
      <c r="N11" s="147">
        <f>M11*P2</f>
        <v>2.4098366801204594</v>
      </c>
      <c r="O11" s="117">
        <v>1988.4549999999999</v>
      </c>
      <c r="P11" s="125">
        <f>O11*P2</f>
        <v>8749.2020000000011</v>
      </c>
      <c r="Q11" s="109">
        <v>0</v>
      </c>
      <c r="R11" s="109">
        <f>J11-O11</f>
        <v>2394.5450000000001</v>
      </c>
      <c r="S11" s="158">
        <f>R11*P2</f>
        <v>10535.998000000001</v>
      </c>
    </row>
    <row r="12" spans="1:19" ht="15.75" hidden="1" customHeight="1" x14ac:dyDescent="0.25">
      <c r="A12" s="23">
        <v>44866</v>
      </c>
      <c r="B12" s="122"/>
      <c r="C12" s="122"/>
      <c r="D12" s="24" t="s">
        <v>48</v>
      </c>
      <c r="E12" s="122"/>
      <c r="F12" s="136"/>
      <c r="G12" s="136"/>
      <c r="H12" s="136"/>
      <c r="I12" s="136"/>
      <c r="J12" s="145"/>
      <c r="K12" s="128"/>
      <c r="L12" s="120"/>
      <c r="M12" s="148"/>
      <c r="N12" s="148"/>
      <c r="O12" s="118"/>
      <c r="P12" s="126"/>
      <c r="Q12" s="110"/>
      <c r="R12" s="110"/>
      <c r="S12" s="158"/>
    </row>
    <row r="13" spans="1:19" ht="15.75" hidden="1" customHeight="1" x14ac:dyDescent="0.25">
      <c r="A13" s="23">
        <v>44896</v>
      </c>
      <c r="B13" s="121">
        <v>8002.7</v>
      </c>
      <c r="C13" s="121">
        <v>2486</v>
      </c>
      <c r="D13" s="24" t="s">
        <v>47</v>
      </c>
      <c r="E13" s="121" t="s">
        <v>23</v>
      </c>
      <c r="F13" s="135">
        <f>10169+6868</f>
        <v>17037</v>
      </c>
      <c r="G13" s="135">
        <f>14488+676+251</f>
        <v>15415</v>
      </c>
      <c r="H13" s="135">
        <f>47+156+18+27+15+15+15</f>
        <v>293</v>
      </c>
      <c r="I13" s="135">
        <f>F13-(G13+H13)</f>
        <v>1329</v>
      </c>
      <c r="J13" s="144">
        <v>1329</v>
      </c>
      <c r="K13" s="127" t="s">
        <v>67</v>
      </c>
      <c r="L13" s="119">
        <v>1329</v>
      </c>
      <c r="M13" s="147"/>
      <c r="N13" s="147"/>
      <c r="O13" s="117">
        <v>1988.4549999999999</v>
      </c>
      <c r="P13" s="125">
        <f>O13*P3</f>
        <v>9524.6994500000001</v>
      </c>
      <c r="Q13" s="109">
        <f>O13-I13</f>
        <v>659.45499999999993</v>
      </c>
      <c r="R13" s="109">
        <v>0</v>
      </c>
      <c r="S13" s="158">
        <f>-(Q13*P3)</f>
        <v>-3158.7894499999998</v>
      </c>
    </row>
    <row r="14" spans="1:19" ht="15.75" hidden="1" customHeight="1" x14ac:dyDescent="0.25">
      <c r="A14" s="23">
        <v>44896</v>
      </c>
      <c r="B14" s="122"/>
      <c r="C14" s="122"/>
      <c r="D14" s="24" t="s">
        <v>48</v>
      </c>
      <c r="E14" s="122"/>
      <c r="F14" s="136"/>
      <c r="G14" s="136"/>
      <c r="H14" s="136"/>
      <c r="I14" s="136"/>
      <c r="J14" s="145"/>
      <c r="K14" s="128"/>
      <c r="L14" s="120"/>
      <c r="M14" s="148"/>
      <c r="N14" s="148"/>
      <c r="O14" s="118"/>
      <c r="P14" s="126"/>
      <c r="Q14" s="110"/>
      <c r="R14" s="110"/>
      <c r="S14" s="158"/>
    </row>
    <row r="15" spans="1:19" ht="15.75" customHeight="1" x14ac:dyDescent="0.25">
      <c r="A15" s="75">
        <v>44927</v>
      </c>
      <c r="B15" s="153">
        <v>8002.7</v>
      </c>
      <c r="C15" s="153">
        <v>2486</v>
      </c>
      <c r="D15" s="77" t="s">
        <v>47</v>
      </c>
      <c r="E15" s="153" t="s">
        <v>23</v>
      </c>
      <c r="F15" s="155">
        <f>7619.28+10927.08</f>
        <v>18546.36</v>
      </c>
      <c r="G15" s="155">
        <f>13764+753+264</f>
        <v>14781</v>
      </c>
      <c r="H15" s="155">
        <f>46+137+18+27+15+15+15</f>
        <v>273</v>
      </c>
      <c r="I15" s="155">
        <f>F15-(G15+H15)</f>
        <v>3492.3600000000006</v>
      </c>
      <c r="J15" s="155">
        <f>I15</f>
        <v>3492.3600000000006</v>
      </c>
      <c r="K15" s="149" t="s">
        <v>80</v>
      </c>
      <c r="L15" s="151">
        <f>J15</f>
        <v>3492.3600000000006</v>
      </c>
      <c r="M15" s="164"/>
      <c r="N15" s="164"/>
      <c r="O15" s="166">
        <v>1988.4549999999999</v>
      </c>
      <c r="P15" s="168">
        <f>O15*P3</f>
        <v>9524.6994500000001</v>
      </c>
      <c r="Q15" s="170"/>
      <c r="R15" s="161">
        <f>L15-O15</f>
        <v>1503.9050000000007</v>
      </c>
      <c r="S15" s="168">
        <f>R15*P3</f>
        <v>7203.704950000003</v>
      </c>
    </row>
    <row r="16" spans="1:19" ht="15.75" customHeight="1" x14ac:dyDescent="0.25">
      <c r="A16" s="75">
        <v>44927</v>
      </c>
      <c r="B16" s="154"/>
      <c r="C16" s="154"/>
      <c r="D16" s="77" t="s">
        <v>48</v>
      </c>
      <c r="E16" s="154"/>
      <c r="F16" s="156"/>
      <c r="G16" s="156"/>
      <c r="H16" s="156"/>
      <c r="I16" s="156"/>
      <c r="J16" s="156"/>
      <c r="K16" s="150"/>
      <c r="L16" s="152"/>
      <c r="M16" s="165"/>
      <c r="N16" s="165"/>
      <c r="O16" s="167"/>
      <c r="P16" s="169"/>
      <c r="Q16" s="152"/>
      <c r="R16" s="162"/>
      <c r="S16" s="169"/>
    </row>
    <row r="17" spans="1:19" ht="15.75" customHeight="1" x14ac:dyDescent="0.25">
      <c r="A17" s="75">
        <v>44958</v>
      </c>
      <c r="B17" s="153">
        <v>8002.7</v>
      </c>
      <c r="C17" s="153">
        <v>2486</v>
      </c>
      <c r="D17" s="77" t="s">
        <v>47</v>
      </c>
      <c r="E17" s="153" t="s">
        <v>23</v>
      </c>
      <c r="F17" s="155">
        <f>4933.8+7695.48</f>
        <v>12629.279999999999</v>
      </c>
      <c r="G17" s="155">
        <f>15501+450+204</f>
        <v>16155</v>
      </c>
      <c r="H17" s="155">
        <f>49+115+18+27+15+15+15</f>
        <v>254</v>
      </c>
      <c r="I17" s="155">
        <f t="shared" ref="I17" si="0">F17-(G17+H17)</f>
        <v>-3779.7200000000012</v>
      </c>
      <c r="J17" s="155">
        <f t="shared" ref="J17" si="1">I17</f>
        <v>-3779.7200000000012</v>
      </c>
      <c r="K17" s="149"/>
      <c r="L17" s="151">
        <f t="shared" ref="L17" si="2">IF(J17&lt;0,0,I17)</f>
        <v>0</v>
      </c>
      <c r="M17" s="164"/>
      <c r="N17" s="164"/>
      <c r="O17" s="166">
        <v>1988.4549999999999</v>
      </c>
      <c r="P17" s="168">
        <f>O17*P3</f>
        <v>9524.6994500000001</v>
      </c>
      <c r="Q17" s="170">
        <v>-1988.4549999999999</v>
      </c>
      <c r="R17" s="161"/>
      <c r="S17" s="168">
        <f>Q17*P3</f>
        <v>-9524.6994500000001</v>
      </c>
    </row>
    <row r="18" spans="1:19" ht="15.75" customHeight="1" x14ac:dyDescent="0.25">
      <c r="A18" s="75">
        <v>44958</v>
      </c>
      <c r="B18" s="154"/>
      <c r="C18" s="154"/>
      <c r="D18" s="77" t="s">
        <v>48</v>
      </c>
      <c r="E18" s="154"/>
      <c r="F18" s="156"/>
      <c r="G18" s="156"/>
      <c r="H18" s="156"/>
      <c r="I18" s="156"/>
      <c r="J18" s="156"/>
      <c r="K18" s="150"/>
      <c r="L18" s="152"/>
      <c r="M18" s="165"/>
      <c r="N18" s="165"/>
      <c r="O18" s="167"/>
      <c r="P18" s="169"/>
      <c r="Q18" s="152"/>
      <c r="R18" s="162"/>
      <c r="S18" s="169"/>
    </row>
    <row r="19" spans="1:19" ht="15.75" customHeight="1" x14ac:dyDescent="0.25">
      <c r="A19" s="75">
        <v>44986</v>
      </c>
      <c r="B19" s="153">
        <v>8002.7</v>
      </c>
      <c r="C19" s="153">
        <v>2486</v>
      </c>
      <c r="D19" s="77" t="s">
        <v>47</v>
      </c>
      <c r="E19" s="153" t="s">
        <v>23</v>
      </c>
      <c r="F19" s="155">
        <f>7486.68+11791.86</f>
        <v>19278.54</v>
      </c>
      <c r="G19" s="155">
        <f>9761+657+251</f>
        <v>10669</v>
      </c>
      <c r="H19" s="155">
        <f>49+142+18+27+15+15+15</f>
        <v>281</v>
      </c>
      <c r="I19" s="155">
        <f t="shared" ref="I19" si="3">F19-(G19+H19)</f>
        <v>8328.5400000000009</v>
      </c>
      <c r="J19" s="155">
        <f>I19+J17</f>
        <v>4548.82</v>
      </c>
      <c r="K19" s="149" t="s">
        <v>81</v>
      </c>
      <c r="L19" s="151">
        <f>J19</f>
        <v>4548.82</v>
      </c>
      <c r="M19" s="164"/>
      <c r="N19" s="164"/>
      <c r="O19" s="166">
        <v>1988.4549999999999</v>
      </c>
      <c r="P19" s="168">
        <f>O19*P3</f>
        <v>9524.6994500000001</v>
      </c>
      <c r="Q19" s="170"/>
      <c r="R19" s="161">
        <f>L19-O19</f>
        <v>2560.3649999999998</v>
      </c>
      <c r="S19" s="168">
        <f>R19*P3</f>
        <v>12264.148349999999</v>
      </c>
    </row>
    <row r="20" spans="1:19" ht="15.75" customHeight="1" x14ac:dyDescent="0.25">
      <c r="A20" s="75">
        <v>44986</v>
      </c>
      <c r="B20" s="154"/>
      <c r="C20" s="154"/>
      <c r="D20" s="77" t="s">
        <v>48</v>
      </c>
      <c r="E20" s="154"/>
      <c r="F20" s="156"/>
      <c r="G20" s="156"/>
      <c r="H20" s="156"/>
      <c r="I20" s="156"/>
      <c r="J20" s="156"/>
      <c r="K20" s="150"/>
      <c r="L20" s="152"/>
      <c r="M20" s="165"/>
      <c r="N20" s="165"/>
      <c r="O20" s="167"/>
      <c r="P20" s="169"/>
      <c r="Q20" s="152"/>
      <c r="R20" s="162"/>
      <c r="S20" s="169"/>
    </row>
    <row r="21" spans="1:19" ht="15.75" customHeight="1" x14ac:dyDescent="0.25">
      <c r="A21" s="75">
        <v>45017</v>
      </c>
      <c r="B21" s="153">
        <v>8002.7</v>
      </c>
      <c r="C21" s="153">
        <v>2486</v>
      </c>
      <c r="D21" s="77" t="s">
        <v>47</v>
      </c>
      <c r="E21" s="153" t="s">
        <v>23</v>
      </c>
      <c r="F21" s="155">
        <f>5722.86+9369.42</f>
        <v>15092.279999999999</v>
      </c>
      <c r="G21" s="155">
        <f>11995+475+148</f>
        <v>12618</v>
      </c>
      <c r="H21" s="155">
        <f>42+160+18+27+15+15+15</f>
        <v>292</v>
      </c>
      <c r="I21" s="155">
        <f t="shared" ref="I21" si="4">F21-(G21+H21)</f>
        <v>2182.2799999999988</v>
      </c>
      <c r="J21" s="155">
        <f t="shared" ref="J21" si="5">I21</f>
        <v>2182.2799999999988</v>
      </c>
      <c r="K21" s="149" t="s">
        <v>82</v>
      </c>
      <c r="L21" s="151">
        <f t="shared" ref="L21" si="6">IF(J21&lt;0,0,I21)</f>
        <v>2182.2799999999988</v>
      </c>
      <c r="M21" s="164"/>
      <c r="N21" s="164"/>
      <c r="O21" s="166">
        <v>1988.4549999999999</v>
      </c>
      <c r="P21" s="168">
        <f>O21*P3</f>
        <v>9524.6994500000001</v>
      </c>
      <c r="Q21" s="170"/>
      <c r="R21" s="161">
        <f>L21-O21</f>
        <v>193.82499999999891</v>
      </c>
      <c r="S21" s="168">
        <f>R21*P3</f>
        <v>928.42174999999474</v>
      </c>
    </row>
    <row r="22" spans="1:19" ht="15.75" customHeight="1" x14ac:dyDescent="0.25">
      <c r="A22" s="75">
        <v>45017</v>
      </c>
      <c r="B22" s="154"/>
      <c r="C22" s="154"/>
      <c r="D22" s="77" t="s">
        <v>48</v>
      </c>
      <c r="E22" s="154"/>
      <c r="F22" s="156"/>
      <c r="G22" s="156"/>
      <c r="H22" s="156"/>
      <c r="I22" s="156"/>
      <c r="J22" s="156"/>
      <c r="K22" s="150"/>
      <c r="L22" s="152"/>
      <c r="M22" s="165"/>
      <c r="N22" s="165"/>
      <c r="O22" s="167"/>
      <c r="P22" s="169"/>
      <c r="Q22" s="152"/>
      <c r="R22" s="162"/>
      <c r="S22" s="169"/>
    </row>
    <row r="23" spans="1:19" ht="15.75" customHeight="1" x14ac:dyDescent="0.25">
      <c r="A23" s="75">
        <v>45047</v>
      </c>
      <c r="B23" s="153">
        <v>8002.7</v>
      </c>
      <c r="C23" s="153">
        <v>2486</v>
      </c>
      <c r="D23" s="77" t="s">
        <v>47</v>
      </c>
      <c r="E23" s="153" t="s">
        <v>23</v>
      </c>
      <c r="F23" s="155">
        <f>7915.8+9630.06</f>
        <v>17545.86</v>
      </c>
      <c r="G23" s="155">
        <f>12579+877+430</f>
        <v>13886</v>
      </c>
      <c r="H23" s="155">
        <f>165+179+18+27+15+15+15</f>
        <v>434</v>
      </c>
      <c r="I23" s="155">
        <f t="shared" ref="I23" si="7">F23-(G23+H23)</f>
        <v>3225.8600000000006</v>
      </c>
      <c r="J23" s="155">
        <f t="shared" ref="J23" si="8">I23</f>
        <v>3225.8600000000006</v>
      </c>
      <c r="K23" s="149" t="s">
        <v>83</v>
      </c>
      <c r="L23" s="151">
        <f t="shared" ref="L23" si="9">IF(J23&lt;0,0,I23)</f>
        <v>3225.8600000000006</v>
      </c>
      <c r="M23" s="164"/>
      <c r="N23" s="164"/>
      <c r="O23" s="166">
        <v>1988.4549999999999</v>
      </c>
      <c r="P23" s="168">
        <f>O23*P3</f>
        <v>9524.6994500000001</v>
      </c>
      <c r="Q23" s="170"/>
      <c r="R23" s="161">
        <f>L23-O23</f>
        <v>1237.4050000000007</v>
      </c>
      <c r="S23" s="168">
        <f>R23*P3</f>
        <v>5927.1699500000032</v>
      </c>
    </row>
    <row r="24" spans="1:19" ht="15.75" customHeight="1" x14ac:dyDescent="0.25">
      <c r="A24" s="75">
        <v>45047</v>
      </c>
      <c r="B24" s="154"/>
      <c r="C24" s="154"/>
      <c r="D24" s="77" t="s">
        <v>48</v>
      </c>
      <c r="E24" s="154"/>
      <c r="F24" s="156"/>
      <c r="G24" s="156"/>
      <c r="H24" s="156"/>
      <c r="I24" s="156"/>
      <c r="J24" s="156"/>
      <c r="K24" s="150"/>
      <c r="L24" s="152"/>
      <c r="M24" s="165"/>
      <c r="N24" s="165"/>
      <c r="O24" s="167"/>
      <c r="P24" s="169"/>
      <c r="Q24" s="152"/>
      <c r="R24" s="162"/>
      <c r="S24" s="169"/>
    </row>
    <row r="25" spans="1:19" ht="15.75" customHeight="1" x14ac:dyDescent="0.25">
      <c r="A25" s="75">
        <v>45078</v>
      </c>
      <c r="B25" s="153">
        <v>8002.7</v>
      </c>
      <c r="C25" s="153">
        <v>2486</v>
      </c>
      <c r="D25" s="77" t="s">
        <v>47</v>
      </c>
      <c r="E25" s="153" t="s">
        <v>23</v>
      </c>
      <c r="F25" s="155">
        <f>5971.26+8679.36</f>
        <v>14650.62</v>
      </c>
      <c r="G25" s="155">
        <f>12185+805+350</f>
        <v>13340</v>
      </c>
      <c r="H25" s="155">
        <f>159+152+18+27+15+15+16</f>
        <v>402</v>
      </c>
      <c r="I25" s="155">
        <f t="shared" ref="I25" si="10">F25-(G25+H25)</f>
        <v>908.6200000000008</v>
      </c>
      <c r="J25" s="155">
        <f t="shared" ref="J25" si="11">I25</f>
        <v>908.6200000000008</v>
      </c>
      <c r="K25" s="149" t="s">
        <v>84</v>
      </c>
      <c r="L25" s="151">
        <f t="shared" ref="L25" si="12">IF(J25&lt;0,0,I25)</f>
        <v>908.6200000000008</v>
      </c>
      <c r="M25" s="164"/>
      <c r="N25" s="164"/>
      <c r="O25" s="166">
        <v>1988.4549999999999</v>
      </c>
      <c r="P25" s="168">
        <f>O25*P3</f>
        <v>9524.6994500000001</v>
      </c>
      <c r="Q25" s="161">
        <f>L25-O25</f>
        <v>-1079.8349999999991</v>
      </c>
      <c r="R25" s="161"/>
      <c r="S25" s="168">
        <f>Q25*P3</f>
        <v>-5172.409649999996</v>
      </c>
    </row>
    <row r="26" spans="1:19" ht="15.75" customHeight="1" x14ac:dyDescent="0.25">
      <c r="A26" s="75">
        <v>45078</v>
      </c>
      <c r="B26" s="154"/>
      <c r="C26" s="154"/>
      <c r="D26" s="77" t="s">
        <v>48</v>
      </c>
      <c r="E26" s="154"/>
      <c r="F26" s="156"/>
      <c r="G26" s="156"/>
      <c r="H26" s="156"/>
      <c r="I26" s="156"/>
      <c r="J26" s="156"/>
      <c r="K26" s="150"/>
      <c r="L26" s="152"/>
      <c r="M26" s="165"/>
      <c r="N26" s="165"/>
      <c r="O26" s="167"/>
      <c r="P26" s="169"/>
      <c r="Q26" s="162"/>
      <c r="R26" s="162"/>
      <c r="S26" s="169"/>
    </row>
    <row r="27" spans="1:19" ht="15.75" customHeight="1" x14ac:dyDescent="0.25">
      <c r="A27" s="75">
        <v>45108</v>
      </c>
      <c r="B27" s="153">
        <v>8002.7</v>
      </c>
      <c r="C27" s="153">
        <v>2486</v>
      </c>
      <c r="D27" s="77" t="s">
        <v>47</v>
      </c>
      <c r="E27" s="153" t="s">
        <v>23</v>
      </c>
      <c r="F27" s="155">
        <f>5491.08+7748.04</f>
        <v>13239.119999999999</v>
      </c>
      <c r="G27" s="155">
        <f>12004+667+307</f>
        <v>12978</v>
      </c>
      <c r="H27" s="155">
        <f>64+125+18+27+15+15+15</f>
        <v>279</v>
      </c>
      <c r="I27" s="155">
        <f t="shared" ref="I27" si="13">F27-(G27+H27)</f>
        <v>-17.880000000001019</v>
      </c>
      <c r="J27" s="155">
        <f t="shared" ref="J27" si="14">I27</f>
        <v>-17.880000000001019</v>
      </c>
      <c r="K27" s="149" t="s">
        <v>85</v>
      </c>
      <c r="L27" s="151">
        <f t="shared" ref="L27" si="15">IF(J27&lt;0,0,I27)</f>
        <v>0</v>
      </c>
      <c r="M27" s="164"/>
      <c r="N27" s="164"/>
      <c r="O27" s="166">
        <v>1988.4549999999999</v>
      </c>
      <c r="P27" s="168">
        <f>O27*P3</f>
        <v>9524.6994500000001</v>
      </c>
      <c r="Q27" s="170">
        <v>-1988.4549999999999</v>
      </c>
      <c r="R27" s="161"/>
      <c r="S27" s="168">
        <f>Q27*P3</f>
        <v>-9524.6994500000001</v>
      </c>
    </row>
    <row r="28" spans="1:19" ht="15.75" customHeight="1" x14ac:dyDescent="0.25">
      <c r="A28" s="75">
        <v>45108</v>
      </c>
      <c r="B28" s="154"/>
      <c r="C28" s="154"/>
      <c r="D28" s="77" t="s">
        <v>48</v>
      </c>
      <c r="E28" s="154"/>
      <c r="F28" s="156"/>
      <c r="G28" s="156"/>
      <c r="H28" s="156"/>
      <c r="I28" s="156"/>
      <c r="J28" s="156"/>
      <c r="K28" s="150"/>
      <c r="L28" s="152"/>
      <c r="M28" s="165"/>
      <c r="N28" s="165"/>
      <c r="O28" s="167"/>
      <c r="P28" s="169"/>
      <c r="Q28" s="152"/>
      <c r="R28" s="162"/>
      <c r="S28" s="169"/>
    </row>
    <row r="29" spans="1:19" ht="15.75" customHeight="1" x14ac:dyDescent="0.25">
      <c r="A29" s="75">
        <v>45139</v>
      </c>
      <c r="B29" s="153">
        <v>8002.7</v>
      </c>
      <c r="C29" s="153">
        <v>2486</v>
      </c>
      <c r="D29" s="77" t="s">
        <v>47</v>
      </c>
      <c r="E29" s="153" t="s">
        <v>23</v>
      </c>
      <c r="F29" s="155">
        <f>6696.3+9175.8</f>
        <v>15872.099999999999</v>
      </c>
      <c r="G29" s="155">
        <f>11679+398+191</f>
        <v>12268</v>
      </c>
      <c r="H29" s="155">
        <f>41+111+18+27+15+15+15</f>
        <v>242</v>
      </c>
      <c r="I29" s="155">
        <f t="shared" ref="I29" si="16">F29-(G29+H29)</f>
        <v>3362.0999999999985</v>
      </c>
      <c r="J29" s="155">
        <f>I29+J27</f>
        <v>3344.2199999999975</v>
      </c>
      <c r="K29" s="149" t="s">
        <v>86</v>
      </c>
      <c r="L29" s="151">
        <f>J29</f>
        <v>3344.2199999999975</v>
      </c>
      <c r="M29" s="164"/>
      <c r="N29" s="164"/>
      <c r="O29" s="166">
        <v>1988.4549999999999</v>
      </c>
      <c r="P29" s="168">
        <f>O29*P3</f>
        <v>9524.6994500000001</v>
      </c>
      <c r="Q29" s="170"/>
      <c r="R29" s="161">
        <f>L29-O29</f>
        <v>1355.7649999999976</v>
      </c>
      <c r="S29" s="168">
        <f>R29*P3</f>
        <v>6494.1143499999889</v>
      </c>
    </row>
    <row r="30" spans="1:19" ht="15.75" customHeight="1" x14ac:dyDescent="0.25">
      <c r="A30" s="75">
        <v>45139</v>
      </c>
      <c r="B30" s="154"/>
      <c r="C30" s="154"/>
      <c r="D30" s="77" t="s">
        <v>48</v>
      </c>
      <c r="E30" s="154"/>
      <c r="F30" s="156"/>
      <c r="G30" s="156"/>
      <c r="H30" s="156"/>
      <c r="I30" s="156"/>
      <c r="J30" s="156"/>
      <c r="K30" s="150"/>
      <c r="L30" s="152"/>
      <c r="M30" s="165"/>
      <c r="N30" s="165"/>
      <c r="O30" s="167"/>
      <c r="P30" s="169"/>
      <c r="Q30" s="152"/>
      <c r="R30" s="162"/>
      <c r="S30" s="169"/>
    </row>
    <row r="31" spans="1:19" ht="15.75" customHeight="1" x14ac:dyDescent="0.25">
      <c r="A31" s="75">
        <v>45170</v>
      </c>
      <c r="B31" s="153">
        <v>8002.7</v>
      </c>
      <c r="C31" s="153">
        <v>2486</v>
      </c>
      <c r="D31" s="77" t="s">
        <v>47</v>
      </c>
      <c r="E31" s="153" t="s">
        <v>23</v>
      </c>
      <c r="F31" s="155">
        <f>7778.28+9232.5</f>
        <v>17010.78</v>
      </c>
      <c r="G31" s="155">
        <f>12117+984+489</f>
        <v>13590</v>
      </c>
      <c r="H31" s="155">
        <f>196+162+18+27+15+15+15</f>
        <v>448</v>
      </c>
      <c r="I31" s="155">
        <f t="shared" ref="I31" si="17">F31-(G31+H31)</f>
        <v>2972.7799999999988</v>
      </c>
      <c r="J31" s="155">
        <f t="shared" ref="J31" si="18">I31</f>
        <v>2972.7799999999988</v>
      </c>
      <c r="K31" s="149" t="s">
        <v>87</v>
      </c>
      <c r="L31" s="151">
        <f t="shared" ref="L31" si="19">IF(J31&lt;0,0,I31)</f>
        <v>2972.7799999999988</v>
      </c>
      <c r="M31" s="164"/>
      <c r="N31" s="164"/>
      <c r="O31" s="166">
        <v>1988.4549999999999</v>
      </c>
      <c r="P31" s="168">
        <f>O31*P3</f>
        <v>9524.6994500000001</v>
      </c>
      <c r="Q31" s="170"/>
      <c r="R31" s="161">
        <f>L31-O31</f>
        <v>984.32499999999891</v>
      </c>
      <c r="S31" s="168">
        <f>R31*P3</f>
        <v>4714.9167499999949</v>
      </c>
    </row>
    <row r="32" spans="1:19" ht="15.75" customHeight="1" x14ac:dyDescent="0.25">
      <c r="A32" s="75">
        <v>45170</v>
      </c>
      <c r="B32" s="154"/>
      <c r="C32" s="154"/>
      <c r="D32" s="77" t="s">
        <v>48</v>
      </c>
      <c r="E32" s="154"/>
      <c r="F32" s="156"/>
      <c r="G32" s="156"/>
      <c r="H32" s="156"/>
      <c r="I32" s="156"/>
      <c r="J32" s="156"/>
      <c r="K32" s="150"/>
      <c r="L32" s="152"/>
      <c r="M32" s="165"/>
      <c r="N32" s="165"/>
      <c r="O32" s="167"/>
      <c r="P32" s="169"/>
      <c r="Q32" s="152"/>
      <c r="R32" s="162"/>
      <c r="S32" s="169"/>
    </row>
    <row r="33" spans="1:19" ht="15.75" customHeight="1" x14ac:dyDescent="0.25">
      <c r="A33" s="75">
        <v>45200</v>
      </c>
      <c r="B33" s="153">
        <v>8002.7</v>
      </c>
      <c r="C33" s="153">
        <v>2486</v>
      </c>
      <c r="D33" s="77" t="s">
        <v>47</v>
      </c>
      <c r="E33" s="153" t="s">
        <v>23</v>
      </c>
      <c r="F33" s="155">
        <f>7488.24+10151.1</f>
        <v>17639.34</v>
      </c>
      <c r="G33" s="155">
        <f>14601+1160+461</f>
        <v>16222</v>
      </c>
      <c r="H33" s="155">
        <f>15+195+18+27+15+15+15</f>
        <v>300</v>
      </c>
      <c r="I33" s="155">
        <f t="shared" ref="I33" si="20">F33-(G33+H33)</f>
        <v>1117.3400000000001</v>
      </c>
      <c r="J33" s="155">
        <f t="shared" ref="J33" si="21">I33</f>
        <v>1117.3400000000001</v>
      </c>
      <c r="K33" s="149" t="s">
        <v>88</v>
      </c>
      <c r="L33" s="151">
        <f t="shared" ref="L33" si="22">IF(J33&lt;0,0,I33)</f>
        <v>1117.3400000000001</v>
      </c>
      <c r="M33" s="164"/>
      <c r="N33" s="164"/>
      <c r="O33" s="166">
        <v>1988.4549999999999</v>
      </c>
      <c r="P33" s="168">
        <f>O33*P3</f>
        <v>9524.6994500000001</v>
      </c>
      <c r="Q33" s="161">
        <f>L33-O33</f>
        <v>-871.11499999999978</v>
      </c>
      <c r="R33" s="161"/>
      <c r="S33" s="168">
        <f>Q33*P3</f>
        <v>-4172.6408499999989</v>
      </c>
    </row>
    <row r="34" spans="1:19" ht="15.75" customHeight="1" x14ac:dyDescent="0.25">
      <c r="A34" s="75">
        <v>45200</v>
      </c>
      <c r="B34" s="154"/>
      <c r="C34" s="154"/>
      <c r="D34" s="77" t="s">
        <v>48</v>
      </c>
      <c r="E34" s="154"/>
      <c r="F34" s="156"/>
      <c r="G34" s="156"/>
      <c r="H34" s="156"/>
      <c r="I34" s="156"/>
      <c r="J34" s="156"/>
      <c r="K34" s="150"/>
      <c r="L34" s="152"/>
      <c r="M34" s="165"/>
      <c r="N34" s="165"/>
      <c r="O34" s="167"/>
      <c r="P34" s="169"/>
      <c r="Q34" s="162"/>
      <c r="R34" s="162"/>
      <c r="S34" s="169"/>
    </row>
    <row r="35" spans="1:19" ht="15.75" customHeight="1" x14ac:dyDescent="0.25">
      <c r="A35" s="75">
        <v>45231</v>
      </c>
      <c r="B35" s="153">
        <v>8002.7</v>
      </c>
      <c r="C35" s="153">
        <v>2486</v>
      </c>
      <c r="D35" s="77" t="s">
        <v>47</v>
      </c>
      <c r="E35" s="153" t="s">
        <v>23</v>
      </c>
      <c r="F35" s="155">
        <f>6152.16+10013.16</f>
        <v>16165.32</v>
      </c>
      <c r="G35" s="155">
        <f>11232+717+265</f>
        <v>12214</v>
      </c>
      <c r="H35" s="155">
        <f>59+167+18+27+15+15+15</f>
        <v>316</v>
      </c>
      <c r="I35" s="155">
        <f t="shared" ref="I35" si="23">F35-(G35+H35)</f>
        <v>3635.3199999999997</v>
      </c>
      <c r="J35" s="155">
        <f t="shared" ref="J35" si="24">I35</f>
        <v>3635.3199999999997</v>
      </c>
      <c r="K35" s="149" t="s">
        <v>89</v>
      </c>
      <c r="L35" s="151">
        <f t="shared" ref="L35" si="25">IF(J35&lt;0,0,I35)</f>
        <v>3635.3199999999997</v>
      </c>
      <c r="M35" s="164"/>
      <c r="N35" s="164"/>
      <c r="O35" s="166">
        <v>1988.4549999999999</v>
      </c>
      <c r="P35" s="168">
        <f>O35*P3</f>
        <v>9524.6994500000001</v>
      </c>
      <c r="Q35" s="170"/>
      <c r="R35" s="161">
        <f>L35-O35</f>
        <v>1646.8649999999998</v>
      </c>
      <c r="S35" s="168">
        <f>R35*P3</f>
        <v>7888.4833499999986</v>
      </c>
    </row>
    <row r="36" spans="1:19" ht="15.75" customHeight="1" x14ac:dyDescent="0.25">
      <c r="A36" s="75">
        <v>45231</v>
      </c>
      <c r="B36" s="154"/>
      <c r="C36" s="154"/>
      <c r="D36" s="77" t="s">
        <v>48</v>
      </c>
      <c r="E36" s="154"/>
      <c r="F36" s="156"/>
      <c r="G36" s="156"/>
      <c r="H36" s="156"/>
      <c r="I36" s="156"/>
      <c r="J36" s="156"/>
      <c r="K36" s="150"/>
      <c r="L36" s="152"/>
      <c r="M36" s="165"/>
      <c r="N36" s="165"/>
      <c r="O36" s="167"/>
      <c r="P36" s="169"/>
      <c r="Q36" s="152"/>
      <c r="R36" s="162"/>
      <c r="S36" s="169"/>
    </row>
    <row r="37" spans="1:19" ht="15.75" customHeight="1" x14ac:dyDescent="0.25">
      <c r="A37" s="75">
        <v>45261</v>
      </c>
      <c r="B37" s="153">
        <v>8002.7</v>
      </c>
      <c r="C37" s="153">
        <v>2486</v>
      </c>
      <c r="D37" s="77" t="s">
        <v>47</v>
      </c>
      <c r="E37" s="153" t="s">
        <v>23</v>
      </c>
      <c r="F37" s="155">
        <f>6074.88+9636.9</f>
        <v>15711.779999999999</v>
      </c>
      <c r="G37" s="155">
        <f>12580+835+283</f>
        <v>13698</v>
      </c>
      <c r="H37" s="155">
        <f>30+179+18+27+15+15+15</f>
        <v>299</v>
      </c>
      <c r="I37" s="155">
        <f t="shared" ref="I37" si="26">F37-(G37+H37)</f>
        <v>1714.7799999999988</v>
      </c>
      <c r="J37" s="155">
        <f t="shared" ref="J37" si="27">I37</f>
        <v>1714.7799999999988</v>
      </c>
      <c r="K37" s="149" t="s">
        <v>90</v>
      </c>
      <c r="L37" s="151">
        <f t="shared" ref="L37" si="28">IF(J37&lt;0,0,I37)</f>
        <v>1714.7799999999988</v>
      </c>
      <c r="M37" s="164"/>
      <c r="N37" s="164"/>
      <c r="O37" s="166">
        <v>1988.4549999999999</v>
      </c>
      <c r="P37" s="168">
        <f>O37*P3</f>
        <v>9524.6994500000001</v>
      </c>
      <c r="Q37" s="161">
        <f>L37-O37</f>
        <v>-273.67500000000109</v>
      </c>
      <c r="R37" s="161"/>
      <c r="S37" s="168">
        <f>Q37*P3</f>
        <v>-1310.9032500000053</v>
      </c>
    </row>
    <row r="38" spans="1:19" ht="15.75" customHeight="1" x14ac:dyDescent="0.25">
      <c r="A38" s="75">
        <v>45261</v>
      </c>
      <c r="B38" s="154"/>
      <c r="C38" s="154"/>
      <c r="D38" s="77" t="s">
        <v>48</v>
      </c>
      <c r="E38" s="154"/>
      <c r="F38" s="156"/>
      <c r="G38" s="156"/>
      <c r="H38" s="156"/>
      <c r="I38" s="156"/>
      <c r="J38" s="156"/>
      <c r="K38" s="150"/>
      <c r="L38" s="152"/>
      <c r="M38" s="165"/>
      <c r="N38" s="165"/>
      <c r="O38" s="167"/>
      <c r="P38" s="169"/>
      <c r="Q38" s="162"/>
      <c r="R38" s="162"/>
      <c r="S38" s="169"/>
    </row>
    <row r="39" spans="1:19" ht="31.5" customHeight="1" x14ac:dyDescent="0.25">
      <c r="L39" s="94">
        <f>SUM(L15:L37)</f>
        <v>27142.379999999994</v>
      </c>
      <c r="O39" s="93">
        <f>SUM(O15:O37)</f>
        <v>23861.460000000006</v>
      </c>
      <c r="P39" s="72">
        <f>SUM(P15:P37)</f>
        <v>114296.3934</v>
      </c>
      <c r="R39" s="93">
        <f>SUM(Q15:R38)</f>
        <v>3280.9199999999964</v>
      </c>
      <c r="S39" s="72">
        <f>SUM(S15:S38)</f>
        <v>15715.606799999981</v>
      </c>
    </row>
    <row r="40" spans="1:19" ht="31.5" customHeight="1" x14ac:dyDescent="0.25">
      <c r="L40" s="72">
        <f>L39*P3</f>
        <v>130012.00019999997</v>
      </c>
    </row>
    <row r="41" spans="1:19" ht="31.5" customHeight="1" x14ac:dyDescent="0.25">
      <c r="O41" s="93"/>
      <c r="P41" s="72"/>
    </row>
    <row r="42" spans="1:19" ht="31.5" customHeight="1" x14ac:dyDescent="0.25"/>
    <row r="43" spans="1:19" ht="31.5" customHeight="1" x14ac:dyDescent="0.25">
      <c r="O43" s="93"/>
    </row>
    <row r="44" spans="1:19" ht="31.5" customHeight="1" x14ac:dyDescent="0.25"/>
    <row r="45" spans="1:19" ht="31.5" customHeight="1" x14ac:dyDescent="0.25"/>
    <row r="46" spans="1:19" ht="31.5" customHeight="1" x14ac:dyDescent="0.25"/>
  </sheetData>
  <mergeCells count="294">
    <mergeCell ref="R25:R26"/>
    <mergeCell ref="S11:S12"/>
    <mergeCell ref="S13:S14"/>
    <mergeCell ref="S4:S5"/>
    <mergeCell ref="A1:S1"/>
    <mergeCell ref="K9:K10"/>
    <mergeCell ref="S7:S8"/>
    <mergeCell ref="S9:S10"/>
    <mergeCell ref="R9:R10"/>
    <mergeCell ref="Q13:Q14"/>
    <mergeCell ref="L13:L14"/>
    <mergeCell ref="M13:M14"/>
    <mergeCell ref="N13:N14"/>
    <mergeCell ref="O13:O14"/>
    <mergeCell ref="P13:P14"/>
    <mergeCell ref="R11:R12"/>
    <mergeCell ref="M11:M12"/>
    <mergeCell ref="B13:B14"/>
    <mergeCell ref="C13:C14"/>
    <mergeCell ref="E13:E14"/>
    <mergeCell ref="F13:F14"/>
    <mergeCell ref="G13:G14"/>
    <mergeCell ref="N11:N12"/>
    <mergeCell ref="O11:O12"/>
    <mergeCell ref="P11:P12"/>
    <mergeCell ref="R13:R14"/>
    <mergeCell ref="Q11:Q12"/>
    <mergeCell ref="H13:H14"/>
    <mergeCell ref="I13:I14"/>
    <mergeCell ref="K13:K14"/>
    <mergeCell ref="K11:K12"/>
    <mergeCell ref="L11:L12"/>
    <mergeCell ref="H11:H12"/>
    <mergeCell ref="I11:I12"/>
    <mergeCell ref="J11:J12"/>
    <mergeCell ref="J13:J14"/>
    <mergeCell ref="B9:B10"/>
    <mergeCell ref="C9:C10"/>
    <mergeCell ref="E9:E10"/>
    <mergeCell ref="F9:F10"/>
    <mergeCell ref="G9:G10"/>
    <mergeCell ref="B11:B12"/>
    <mergeCell ref="C11:C12"/>
    <mergeCell ref="E11:E12"/>
    <mergeCell ref="F11:F12"/>
    <mergeCell ref="G11:G12"/>
    <mergeCell ref="M4:M5"/>
    <mergeCell ref="N4:N5"/>
    <mergeCell ref="O4:O5"/>
    <mergeCell ref="Q7:Q8"/>
    <mergeCell ref="H9:H10"/>
    <mergeCell ref="M7:M8"/>
    <mergeCell ref="N7:N8"/>
    <mergeCell ref="O7:O8"/>
    <mergeCell ref="P7:P8"/>
    <mergeCell ref="P9:P10"/>
    <mergeCell ref="J7:J8"/>
    <mergeCell ref="J9:J10"/>
    <mergeCell ref="I9:I10"/>
    <mergeCell ref="L9:L10"/>
    <mergeCell ref="M9:M10"/>
    <mergeCell ref="N9:N10"/>
    <mergeCell ref="Q9:Q10"/>
    <mergeCell ref="O9:O10"/>
    <mergeCell ref="E7:E8"/>
    <mergeCell ref="F7:F8"/>
    <mergeCell ref="G7:G8"/>
    <mergeCell ref="H7:H8"/>
    <mergeCell ref="I7:I8"/>
    <mergeCell ref="K7:K8"/>
    <mergeCell ref="L7:L8"/>
    <mergeCell ref="I4:I5"/>
    <mergeCell ref="K4:L4"/>
    <mergeCell ref="K15:K16"/>
    <mergeCell ref="L15:L16"/>
    <mergeCell ref="B15:B16"/>
    <mergeCell ref="C15:C16"/>
    <mergeCell ref="E15:E16"/>
    <mergeCell ref="F15:F16"/>
    <mergeCell ref="G15:G16"/>
    <mergeCell ref="R7:R8"/>
    <mergeCell ref="J2:N2"/>
    <mergeCell ref="J3:N3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Q4:R4"/>
    <mergeCell ref="B7:B8"/>
    <mergeCell ref="C7:C8"/>
    <mergeCell ref="R15:R16"/>
    <mergeCell ref="S15:S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M15:M16"/>
    <mergeCell ref="N15:N16"/>
    <mergeCell ref="O15:O16"/>
    <mergeCell ref="P15:P16"/>
    <mergeCell ref="Q15:Q16"/>
    <mergeCell ref="H15:H16"/>
    <mergeCell ref="I15:I16"/>
    <mergeCell ref="J15:J16"/>
    <mergeCell ref="Q17:Q18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R21:R22"/>
    <mergeCell ref="S21:S22"/>
    <mergeCell ref="P19:P20"/>
    <mergeCell ref="Q19:Q20"/>
    <mergeCell ref="R19:R20"/>
    <mergeCell ref="S19:S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H23:H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L27:L28"/>
    <mergeCell ref="M27:M28"/>
    <mergeCell ref="N27:N28"/>
    <mergeCell ref="O27:O28"/>
    <mergeCell ref="R23:R24"/>
    <mergeCell ref="S23:S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M23:M24"/>
    <mergeCell ref="N23:N24"/>
    <mergeCell ref="O23:O24"/>
    <mergeCell ref="P23:P24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B31:B32"/>
    <mergeCell ref="C31:C32"/>
    <mergeCell ref="E31:E32"/>
    <mergeCell ref="F31:F32"/>
    <mergeCell ref="G31:G32"/>
    <mergeCell ref="O29:O30"/>
    <mergeCell ref="P29:P30"/>
    <mergeCell ref="Q29:Q30"/>
    <mergeCell ref="R29:R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M31:M32"/>
    <mergeCell ref="N31:N32"/>
    <mergeCell ref="O31:O32"/>
    <mergeCell ref="Q31:Q32"/>
    <mergeCell ref="H31:H32"/>
    <mergeCell ref="I31:I32"/>
    <mergeCell ref="J31:J32"/>
    <mergeCell ref="K31:K32"/>
    <mergeCell ref="L31:L32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L37:L38"/>
    <mergeCell ref="M37:M38"/>
    <mergeCell ref="N37:N38"/>
    <mergeCell ref="Q33:Q34"/>
    <mergeCell ref="R33:R34"/>
    <mergeCell ref="S33:S34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B33:B34"/>
    <mergeCell ref="C33:C34"/>
    <mergeCell ref="E33:E34"/>
    <mergeCell ref="F33:F34"/>
    <mergeCell ref="G33:G34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S2:S3"/>
    <mergeCell ref="O37:O38"/>
    <mergeCell ref="P37:P38"/>
    <mergeCell ref="Q37:Q38"/>
    <mergeCell ref="R37:R38"/>
    <mergeCell ref="S37:S38"/>
    <mergeCell ref="P35:P36"/>
    <mergeCell ref="Q35:Q36"/>
    <mergeCell ref="R35:R36"/>
    <mergeCell ref="S35:S36"/>
    <mergeCell ref="R31:R32"/>
    <mergeCell ref="S31:S32"/>
    <mergeCell ref="S29:S30"/>
    <mergeCell ref="P27:P28"/>
    <mergeCell ref="Q27:Q28"/>
    <mergeCell ref="R27:R28"/>
    <mergeCell ref="S27:S28"/>
    <mergeCell ref="Q25:Q26"/>
    <mergeCell ref="S25:S26"/>
    <mergeCell ref="Q23:Q24"/>
    <mergeCell ref="O21:O22"/>
    <mergeCell ref="P21:P22"/>
    <mergeCell ref="Q21:Q22"/>
    <mergeCell ref="P31:P32"/>
  </mergeCells>
  <pageMargins left="0.25" right="0.25" top="0.75" bottom="0.75" header="0.3" footer="0.3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78" zoomScaleNormal="78" workbookViewId="0">
      <selection activeCell="K11" sqref="K11:K22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49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39.75" hidden="1" customHeight="1" x14ac:dyDescent="0.25">
      <c r="A7" s="23">
        <v>44805</v>
      </c>
      <c r="B7" s="13">
        <v>4196.2</v>
      </c>
      <c r="C7" s="13">
        <v>1450.1</v>
      </c>
      <c r="D7" s="24" t="s">
        <v>50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1146</v>
      </c>
      <c r="M7" s="37"/>
      <c r="N7" s="37"/>
      <c r="O7" s="68">
        <v>1145.5740000000001</v>
      </c>
      <c r="P7" s="38">
        <f>O7*P2</f>
        <v>5040.5256000000008</v>
      </c>
      <c r="Q7" s="37"/>
      <c r="R7" s="37"/>
      <c r="S7" s="20">
        <v>0</v>
      </c>
    </row>
    <row r="8" spans="1:19" ht="39.75" hidden="1" customHeight="1" x14ac:dyDescent="0.25">
      <c r="A8" s="23">
        <v>44835</v>
      </c>
      <c r="B8" s="13">
        <v>4196.2</v>
      </c>
      <c r="C8" s="13">
        <v>1450.1</v>
      </c>
      <c r="D8" s="24" t="s">
        <v>50</v>
      </c>
      <c r="E8" s="13" t="s">
        <v>23</v>
      </c>
      <c r="F8" s="14">
        <v>7564.24</v>
      </c>
      <c r="G8" s="14">
        <f>7912+228+82</f>
        <v>8222</v>
      </c>
      <c r="H8" s="14">
        <f>124+14+15+15</f>
        <v>168</v>
      </c>
      <c r="I8" s="14">
        <f>F8-(G8+H8)</f>
        <v>-825.76000000000022</v>
      </c>
      <c r="J8" s="35">
        <f>I8</f>
        <v>-825.76000000000022</v>
      </c>
      <c r="K8" s="39" t="s">
        <v>64</v>
      </c>
      <c r="L8" s="46">
        <v>0</v>
      </c>
      <c r="M8" s="41"/>
      <c r="N8" s="41"/>
      <c r="O8" s="68">
        <v>1145.5740000000001</v>
      </c>
      <c r="P8" s="38">
        <f>O8*P2</f>
        <v>5040.5256000000008</v>
      </c>
      <c r="Q8" s="62">
        <f>O8</f>
        <v>1145.5740000000001</v>
      </c>
      <c r="R8" s="40"/>
      <c r="S8" s="20">
        <f>-(Q8*P2)</f>
        <v>-5040.5256000000008</v>
      </c>
    </row>
    <row r="9" spans="1:19" ht="39.75" hidden="1" customHeight="1" x14ac:dyDescent="0.25">
      <c r="A9" s="23">
        <v>44866</v>
      </c>
      <c r="B9" s="13">
        <v>4196.2</v>
      </c>
      <c r="C9" s="13">
        <v>1450.1</v>
      </c>
      <c r="D9" s="24" t="s">
        <v>50</v>
      </c>
      <c r="E9" s="13" t="s">
        <v>23</v>
      </c>
      <c r="F9" s="9">
        <v>10116.44</v>
      </c>
      <c r="G9" s="5">
        <f>8682+189+65</f>
        <v>8936</v>
      </c>
      <c r="H9" s="5">
        <f>136+14+15+15</f>
        <v>180</v>
      </c>
      <c r="I9" s="14">
        <f t="shared" ref="I9:I22" si="0">F9-(G9+H9)</f>
        <v>1000.4400000000005</v>
      </c>
      <c r="J9" s="35">
        <v>174</v>
      </c>
      <c r="K9" s="39" t="s">
        <v>66</v>
      </c>
      <c r="L9" s="46">
        <v>174</v>
      </c>
      <c r="M9" s="40"/>
      <c r="N9" s="40"/>
      <c r="O9" s="68">
        <v>1145.5740000000001</v>
      </c>
      <c r="P9" s="43">
        <f>O9*P2</f>
        <v>5040.5256000000008</v>
      </c>
      <c r="Q9" s="62">
        <f>O9-J9</f>
        <v>971.57400000000007</v>
      </c>
      <c r="R9" s="40"/>
      <c r="S9" s="20">
        <f>-(Q9*P2)</f>
        <v>-4274.9256000000005</v>
      </c>
    </row>
    <row r="10" spans="1:19" ht="39.75" hidden="1" customHeight="1" x14ac:dyDescent="0.25">
      <c r="A10" s="23">
        <v>44896</v>
      </c>
      <c r="B10" s="5">
        <v>4196.2</v>
      </c>
      <c r="C10" s="5">
        <v>1450.1</v>
      </c>
      <c r="D10" s="24" t="s">
        <v>50</v>
      </c>
      <c r="E10" s="5" t="s">
        <v>23</v>
      </c>
      <c r="F10" s="5">
        <v>10447</v>
      </c>
      <c r="G10" s="5">
        <f>7995+303+107</f>
        <v>8405</v>
      </c>
      <c r="H10" s="5">
        <f>119+14+15+15</f>
        <v>163</v>
      </c>
      <c r="I10" s="8">
        <f t="shared" si="0"/>
        <v>1879</v>
      </c>
      <c r="J10" s="35">
        <v>1879</v>
      </c>
      <c r="K10" s="39" t="s">
        <v>67</v>
      </c>
      <c r="L10" s="46">
        <v>1879</v>
      </c>
      <c r="M10" s="40"/>
      <c r="N10" s="40"/>
      <c r="O10" s="70">
        <v>1145.5740000000001</v>
      </c>
      <c r="P10" s="43">
        <f>O10*P2</f>
        <v>5040.5256000000008</v>
      </c>
      <c r="Q10" s="40"/>
      <c r="R10" s="62">
        <f>J10-O10</f>
        <v>733.42599999999993</v>
      </c>
      <c r="S10" s="20">
        <f>R10*P3</f>
        <v>3513.1105399999997</v>
      </c>
    </row>
    <row r="11" spans="1:19" ht="31.5" customHeight="1" x14ac:dyDescent="0.25">
      <c r="A11" s="75">
        <v>44927</v>
      </c>
      <c r="B11" s="76">
        <v>4196.2</v>
      </c>
      <c r="C11" s="76">
        <v>1450.1</v>
      </c>
      <c r="D11" s="77" t="s">
        <v>50</v>
      </c>
      <c r="E11" s="76" t="s">
        <v>23</v>
      </c>
      <c r="F11" s="78">
        <v>11288.36</v>
      </c>
      <c r="G11" s="78">
        <f>8423+220+81</f>
        <v>8724</v>
      </c>
      <c r="H11" s="78">
        <f>155+14+15+15</f>
        <v>199</v>
      </c>
      <c r="I11" s="78">
        <f t="shared" si="0"/>
        <v>2365.3600000000006</v>
      </c>
      <c r="J11" s="79">
        <f>I11</f>
        <v>2365.3600000000006</v>
      </c>
      <c r="K11" s="192" t="s">
        <v>80</v>
      </c>
      <c r="L11" s="80">
        <f>IF(J11&lt;0,0,I11)</f>
        <v>2365.3600000000006</v>
      </c>
      <c r="M11" s="81"/>
      <c r="N11" s="81"/>
      <c r="O11" s="88">
        <v>1145.5740000000001</v>
      </c>
      <c r="P11" s="83">
        <f>O11*P3</f>
        <v>5487.2994600000002</v>
      </c>
      <c r="Q11" s="84"/>
      <c r="R11" s="84">
        <f>L11-O11</f>
        <v>1219.7860000000005</v>
      </c>
      <c r="S11" s="85">
        <f>R11*P3</f>
        <v>5842.7749400000021</v>
      </c>
    </row>
    <row r="12" spans="1:19" ht="31.5" customHeight="1" x14ac:dyDescent="0.25">
      <c r="A12" s="75">
        <v>44958</v>
      </c>
      <c r="B12" s="76">
        <v>4196.2</v>
      </c>
      <c r="C12" s="76">
        <v>1450.1</v>
      </c>
      <c r="D12" s="77" t="s">
        <v>50</v>
      </c>
      <c r="E12" s="76" t="s">
        <v>23</v>
      </c>
      <c r="F12" s="78">
        <v>7198.24</v>
      </c>
      <c r="G12" s="78">
        <f>8074+224+95</f>
        <v>8393</v>
      </c>
      <c r="H12" s="78">
        <f>117+14+15+15</f>
        <v>161</v>
      </c>
      <c r="I12" s="78">
        <f t="shared" si="0"/>
        <v>-1355.7600000000002</v>
      </c>
      <c r="J12" s="79">
        <f t="shared" ref="J12:J22" si="1">I12</f>
        <v>-1355.7600000000002</v>
      </c>
      <c r="K12" s="192"/>
      <c r="L12" s="80">
        <f t="shared" ref="L12:L22" si="2">IF(J12&lt;0,0,I12)</f>
        <v>0</v>
      </c>
      <c r="M12" s="81"/>
      <c r="N12" s="81"/>
      <c r="O12" s="88">
        <v>1145.5740000000001</v>
      </c>
      <c r="P12" s="83">
        <f>O12*P3</f>
        <v>5487.2994600000002</v>
      </c>
      <c r="Q12" s="84">
        <f>-L12-O12</f>
        <v>-1145.5740000000001</v>
      </c>
      <c r="R12" s="84"/>
      <c r="S12" s="85">
        <f>Q12*P3</f>
        <v>-5487.2994600000002</v>
      </c>
    </row>
    <row r="13" spans="1:19" ht="31.5" customHeight="1" x14ac:dyDescent="0.25">
      <c r="A13" s="75">
        <v>44986</v>
      </c>
      <c r="B13" s="76">
        <v>4196.2</v>
      </c>
      <c r="C13" s="76">
        <v>1450.1</v>
      </c>
      <c r="D13" s="77" t="s">
        <v>50</v>
      </c>
      <c r="E13" s="76" t="s">
        <v>23</v>
      </c>
      <c r="F13" s="78">
        <v>11412.24</v>
      </c>
      <c r="G13" s="78">
        <f>8698+172+74</f>
        <v>8944</v>
      </c>
      <c r="H13" s="78">
        <f>148+14+15+15</f>
        <v>192</v>
      </c>
      <c r="I13" s="78">
        <f t="shared" si="0"/>
        <v>2276.2399999999998</v>
      </c>
      <c r="J13" s="79">
        <f>I13+J12</f>
        <v>920.47999999999956</v>
      </c>
      <c r="K13" s="192" t="s">
        <v>81</v>
      </c>
      <c r="L13" s="80">
        <f>J13</f>
        <v>920.47999999999956</v>
      </c>
      <c r="M13" s="81"/>
      <c r="N13" s="81"/>
      <c r="O13" s="88">
        <v>1145.5740000000001</v>
      </c>
      <c r="P13" s="83">
        <f>O13*P3</f>
        <v>5487.2994600000002</v>
      </c>
      <c r="Q13" s="84">
        <f>L13-O13</f>
        <v>-225.09400000000051</v>
      </c>
      <c r="R13" s="84"/>
      <c r="S13" s="85">
        <f>Q13*P3</f>
        <v>-1078.2002600000023</v>
      </c>
    </row>
    <row r="14" spans="1:19" ht="31.5" customHeight="1" x14ac:dyDescent="0.25">
      <c r="A14" s="75">
        <v>45017</v>
      </c>
      <c r="B14" s="76">
        <v>4196.2</v>
      </c>
      <c r="C14" s="76">
        <v>1450.1</v>
      </c>
      <c r="D14" s="77" t="s">
        <v>50</v>
      </c>
      <c r="E14" s="76" t="s">
        <v>23</v>
      </c>
      <c r="F14" s="78">
        <v>8768.16</v>
      </c>
      <c r="G14" s="78">
        <f>7682+216+82</f>
        <v>7980</v>
      </c>
      <c r="H14" s="78">
        <f>129+14+15+15</f>
        <v>173</v>
      </c>
      <c r="I14" s="78">
        <f t="shared" si="0"/>
        <v>615.15999999999985</v>
      </c>
      <c r="J14" s="79">
        <f t="shared" si="1"/>
        <v>615.15999999999985</v>
      </c>
      <c r="K14" s="192" t="s">
        <v>82</v>
      </c>
      <c r="L14" s="80">
        <f t="shared" si="2"/>
        <v>615.15999999999985</v>
      </c>
      <c r="M14" s="81"/>
      <c r="N14" s="81"/>
      <c r="O14" s="88">
        <v>1145.5740000000001</v>
      </c>
      <c r="P14" s="83">
        <f>O14*P3</f>
        <v>5487.2994600000002</v>
      </c>
      <c r="Q14" s="84">
        <f>L14-O14</f>
        <v>-530.41400000000021</v>
      </c>
      <c r="R14" s="84"/>
      <c r="S14" s="85">
        <f>Q14*P3</f>
        <v>-2540.6830600000012</v>
      </c>
    </row>
    <row r="15" spans="1:19" ht="31.5" customHeight="1" x14ac:dyDescent="0.25">
      <c r="A15" s="75">
        <v>45047</v>
      </c>
      <c r="B15" s="76">
        <v>4196.2</v>
      </c>
      <c r="C15" s="76">
        <v>1450.1</v>
      </c>
      <c r="D15" s="77" t="s">
        <v>50</v>
      </c>
      <c r="E15" s="76" t="s">
        <v>23</v>
      </c>
      <c r="F15" s="78">
        <v>10203.719999999999</v>
      </c>
      <c r="G15" s="78">
        <f>7540+212+73</f>
        <v>7825</v>
      </c>
      <c r="H15" s="78">
        <f>241+14+15+15</f>
        <v>285</v>
      </c>
      <c r="I15" s="78">
        <f t="shared" si="0"/>
        <v>2093.7199999999993</v>
      </c>
      <c r="J15" s="79">
        <f t="shared" si="1"/>
        <v>2093.7199999999993</v>
      </c>
      <c r="K15" s="192" t="s">
        <v>83</v>
      </c>
      <c r="L15" s="80">
        <f t="shared" si="2"/>
        <v>2093.7199999999993</v>
      </c>
      <c r="M15" s="81"/>
      <c r="N15" s="81"/>
      <c r="O15" s="88">
        <v>1145.5740000000001</v>
      </c>
      <c r="P15" s="83">
        <f>O15*P3</f>
        <v>5487.2994600000002</v>
      </c>
      <c r="Q15" s="84"/>
      <c r="R15" s="84">
        <f>L15-O15</f>
        <v>948.14599999999928</v>
      </c>
      <c r="S15" s="85">
        <f>R15*P3</f>
        <v>4541.6193399999966</v>
      </c>
    </row>
    <row r="16" spans="1:19" ht="31.5" customHeight="1" x14ac:dyDescent="0.25">
      <c r="A16" s="75">
        <v>45078</v>
      </c>
      <c r="B16" s="76">
        <v>4196.2</v>
      </c>
      <c r="C16" s="76">
        <v>1450.1</v>
      </c>
      <c r="D16" s="77" t="s">
        <v>50</v>
      </c>
      <c r="E16" s="76" t="s">
        <v>23</v>
      </c>
      <c r="F16" s="78">
        <v>8289.8799999999992</v>
      </c>
      <c r="G16" s="78">
        <f>7414+194+75</f>
        <v>7683</v>
      </c>
      <c r="H16" s="78">
        <f>187+14+15+15</f>
        <v>231</v>
      </c>
      <c r="I16" s="78">
        <f t="shared" si="0"/>
        <v>375.8799999999992</v>
      </c>
      <c r="J16" s="79">
        <f t="shared" si="1"/>
        <v>375.8799999999992</v>
      </c>
      <c r="K16" s="192" t="s">
        <v>84</v>
      </c>
      <c r="L16" s="80">
        <f t="shared" si="2"/>
        <v>375.8799999999992</v>
      </c>
      <c r="M16" s="81"/>
      <c r="N16" s="81"/>
      <c r="O16" s="88">
        <v>1145.5740000000001</v>
      </c>
      <c r="P16" s="83">
        <f>O16*P3</f>
        <v>5487.2994600000002</v>
      </c>
      <c r="Q16" s="84">
        <f>L16-O16</f>
        <v>-769.69400000000087</v>
      </c>
      <c r="R16" s="84"/>
      <c r="S16" s="85">
        <f>Q16*P3</f>
        <v>-3686.8342600000042</v>
      </c>
    </row>
    <row r="17" spans="1:19" ht="31.5" customHeight="1" x14ac:dyDescent="0.25">
      <c r="A17" s="75">
        <v>45108</v>
      </c>
      <c r="B17" s="76">
        <v>4196.2</v>
      </c>
      <c r="C17" s="76">
        <v>1450.1</v>
      </c>
      <c r="D17" s="77" t="s">
        <v>50</v>
      </c>
      <c r="E17" s="76" t="s">
        <v>23</v>
      </c>
      <c r="F17" s="78">
        <v>7740.16</v>
      </c>
      <c r="G17" s="78">
        <f>7794+245+103</f>
        <v>8142</v>
      </c>
      <c r="H17" s="78">
        <f>141+14+15+15</f>
        <v>185</v>
      </c>
      <c r="I17" s="78">
        <f t="shared" si="0"/>
        <v>-586.84000000000015</v>
      </c>
      <c r="J17" s="79">
        <f t="shared" si="1"/>
        <v>-586.84000000000015</v>
      </c>
      <c r="K17" s="192" t="s">
        <v>85</v>
      </c>
      <c r="L17" s="80">
        <f t="shared" si="2"/>
        <v>0</v>
      </c>
      <c r="M17" s="81"/>
      <c r="N17" s="81"/>
      <c r="O17" s="88">
        <v>1145.5740000000001</v>
      </c>
      <c r="P17" s="83">
        <f>O17*P3</f>
        <v>5487.2994600000002</v>
      </c>
      <c r="Q17" s="84">
        <f>L17-O17</f>
        <v>-1145.5740000000001</v>
      </c>
      <c r="R17" s="84"/>
      <c r="S17" s="85">
        <f>Q17*P3</f>
        <v>-5487.2994600000002</v>
      </c>
    </row>
    <row r="18" spans="1:19" ht="31.5" customHeight="1" x14ac:dyDescent="0.25">
      <c r="A18" s="75">
        <v>45139</v>
      </c>
      <c r="B18" s="76">
        <v>4196.2</v>
      </c>
      <c r="C18" s="76">
        <v>1450.1</v>
      </c>
      <c r="D18" s="77" t="s">
        <v>50</v>
      </c>
      <c r="E18" s="76" t="s">
        <v>23</v>
      </c>
      <c r="F18" s="78">
        <v>9709.6</v>
      </c>
      <c r="G18" s="78">
        <f>8065+234+107</f>
        <v>8406</v>
      </c>
      <c r="H18" s="78">
        <f>130+14+15+15</f>
        <v>174</v>
      </c>
      <c r="I18" s="78">
        <f t="shared" si="0"/>
        <v>1129.6000000000004</v>
      </c>
      <c r="J18" s="79">
        <f>I18+J17</f>
        <v>542.76000000000022</v>
      </c>
      <c r="K18" s="192" t="s">
        <v>86</v>
      </c>
      <c r="L18" s="80">
        <f>J18</f>
        <v>542.76000000000022</v>
      </c>
      <c r="M18" s="81"/>
      <c r="N18" s="81"/>
      <c r="O18" s="88">
        <v>1145.5740000000001</v>
      </c>
      <c r="P18" s="83">
        <f>O18*P3</f>
        <v>5487.2994600000002</v>
      </c>
      <c r="Q18" s="84">
        <f>L18-O18</f>
        <v>-602.81399999999985</v>
      </c>
      <c r="R18" s="84"/>
      <c r="S18" s="85">
        <f>Q18*P3</f>
        <v>-2887.4790599999992</v>
      </c>
    </row>
    <row r="19" spans="1:19" ht="31.5" customHeight="1" x14ac:dyDescent="0.25">
      <c r="A19" s="75">
        <v>45170</v>
      </c>
      <c r="B19" s="76">
        <v>4196.2</v>
      </c>
      <c r="C19" s="76">
        <v>1450.1</v>
      </c>
      <c r="D19" s="77" t="s">
        <v>50</v>
      </c>
      <c r="E19" s="76" t="s">
        <v>23</v>
      </c>
      <c r="F19" s="78">
        <v>11263.6</v>
      </c>
      <c r="G19" s="78">
        <f>8377+220+63</f>
        <v>8660</v>
      </c>
      <c r="H19" s="78">
        <f>163+14+15+15</f>
        <v>207</v>
      </c>
      <c r="I19" s="78">
        <f t="shared" si="0"/>
        <v>2396.6000000000004</v>
      </c>
      <c r="J19" s="79">
        <f t="shared" si="1"/>
        <v>2396.6000000000004</v>
      </c>
      <c r="K19" s="192" t="s">
        <v>87</v>
      </c>
      <c r="L19" s="80">
        <f t="shared" si="2"/>
        <v>2396.6000000000004</v>
      </c>
      <c r="M19" s="81"/>
      <c r="N19" s="81"/>
      <c r="O19" s="88">
        <v>1145.5740000000001</v>
      </c>
      <c r="P19" s="83">
        <f>O19*P3</f>
        <v>5487.2994600000002</v>
      </c>
      <c r="Q19" s="84"/>
      <c r="R19" s="84">
        <f>L19-O19</f>
        <v>1251.0260000000003</v>
      </c>
      <c r="S19" s="85">
        <f>R19*P3</f>
        <v>5992.4145400000016</v>
      </c>
    </row>
    <row r="20" spans="1:19" ht="31.5" customHeight="1" x14ac:dyDescent="0.25">
      <c r="A20" s="75">
        <v>45200</v>
      </c>
      <c r="B20" s="76">
        <v>4196.2</v>
      </c>
      <c r="C20" s="76">
        <v>1450.1</v>
      </c>
      <c r="D20" s="77" t="s">
        <v>50</v>
      </c>
      <c r="E20" s="76" t="s">
        <v>23</v>
      </c>
      <c r="F20" s="78">
        <v>11328.44</v>
      </c>
      <c r="G20" s="78">
        <f>10238+263+104</f>
        <v>10605</v>
      </c>
      <c r="H20" s="78">
        <f>257+14+15+15</f>
        <v>301</v>
      </c>
      <c r="I20" s="78">
        <f t="shared" si="0"/>
        <v>422.44000000000051</v>
      </c>
      <c r="J20" s="79">
        <f t="shared" si="1"/>
        <v>422.44000000000051</v>
      </c>
      <c r="K20" s="192" t="s">
        <v>88</v>
      </c>
      <c r="L20" s="80">
        <f t="shared" si="2"/>
        <v>422.44000000000051</v>
      </c>
      <c r="M20" s="81"/>
      <c r="N20" s="81"/>
      <c r="O20" s="88">
        <v>1145.5740000000001</v>
      </c>
      <c r="P20" s="83">
        <f>O20*P3</f>
        <v>5487.2994600000002</v>
      </c>
      <c r="Q20" s="84">
        <f>L20-O20</f>
        <v>-723.13399999999956</v>
      </c>
      <c r="R20" s="84"/>
      <c r="S20" s="85">
        <f>Q20*P3</f>
        <v>-3463.811859999998</v>
      </c>
    </row>
    <row r="21" spans="1:19" ht="31.5" customHeight="1" x14ac:dyDescent="0.25">
      <c r="A21" s="75">
        <v>45231</v>
      </c>
      <c r="B21" s="76">
        <v>4196.2</v>
      </c>
      <c r="C21" s="76">
        <v>1450.1</v>
      </c>
      <c r="D21" s="77" t="s">
        <v>50</v>
      </c>
      <c r="E21" s="76" t="s">
        <v>23</v>
      </c>
      <c r="F21" s="78">
        <v>10195.36</v>
      </c>
      <c r="G21" s="78">
        <f>9183+232+84</f>
        <v>9499</v>
      </c>
      <c r="H21" s="78">
        <f>132+14+15+15</f>
        <v>176</v>
      </c>
      <c r="I21" s="78">
        <f t="shared" si="0"/>
        <v>520.36000000000058</v>
      </c>
      <c r="J21" s="79">
        <f t="shared" si="1"/>
        <v>520.36000000000058</v>
      </c>
      <c r="K21" s="192" t="s">
        <v>89</v>
      </c>
      <c r="L21" s="80">
        <f t="shared" si="2"/>
        <v>520.36000000000058</v>
      </c>
      <c r="M21" s="81"/>
      <c r="N21" s="81"/>
      <c r="O21" s="88">
        <v>1145.5740000000001</v>
      </c>
      <c r="P21" s="83">
        <f>O21*P3</f>
        <v>5487.2994600000002</v>
      </c>
      <c r="Q21" s="84">
        <f>L21-O21</f>
        <v>-625.21399999999949</v>
      </c>
      <c r="R21" s="84"/>
      <c r="S21" s="85">
        <f>Q21*P3</f>
        <v>-2994.7750599999977</v>
      </c>
    </row>
    <row r="22" spans="1:19" ht="31.5" customHeight="1" x14ac:dyDescent="0.25">
      <c r="A22" s="75">
        <v>45261</v>
      </c>
      <c r="B22" s="76">
        <v>4196.2</v>
      </c>
      <c r="C22" s="76">
        <v>1450.1</v>
      </c>
      <c r="D22" s="77" t="s">
        <v>50</v>
      </c>
      <c r="E22" s="76" t="s">
        <v>23</v>
      </c>
      <c r="F22" s="78">
        <v>10174.879999999999</v>
      </c>
      <c r="G22" s="78">
        <f>7823+228+84</f>
        <v>8135</v>
      </c>
      <c r="H22" s="78">
        <f>14+15+15</f>
        <v>44</v>
      </c>
      <c r="I22" s="78">
        <f t="shared" si="0"/>
        <v>1995.8799999999992</v>
      </c>
      <c r="J22" s="79">
        <f t="shared" si="1"/>
        <v>1995.8799999999992</v>
      </c>
      <c r="K22" s="193" t="s">
        <v>90</v>
      </c>
      <c r="L22" s="80">
        <f t="shared" si="2"/>
        <v>1995.8799999999992</v>
      </c>
      <c r="M22" s="81"/>
      <c r="N22" s="81"/>
      <c r="O22" s="88">
        <v>1145.5740000000001</v>
      </c>
      <c r="P22" s="83">
        <f>O22*P3</f>
        <v>5487.2994600000002</v>
      </c>
      <c r="Q22" s="84"/>
      <c r="R22" s="84">
        <f>L22-O22</f>
        <v>850.30599999999913</v>
      </c>
      <c r="S22" s="85">
        <f>R22*P3</f>
        <v>4072.965739999996</v>
      </c>
    </row>
    <row r="23" spans="1:19" s="72" customFormat="1" ht="31.5" customHeight="1" x14ac:dyDescent="0.25">
      <c r="A23" s="96"/>
      <c r="L23" s="72">
        <f>SUM(L11:L22)</f>
        <v>12248.64</v>
      </c>
      <c r="O23" s="72">
        <f>SUM(O11:O22)</f>
        <v>13746.888000000004</v>
      </c>
      <c r="P23" s="72">
        <f>SUM(P11:P22)</f>
        <v>65847.593520000009</v>
      </c>
      <c r="R23" s="72">
        <f>SUM(Q11:R22)</f>
        <v>-1498.2480000000014</v>
      </c>
      <c r="S23" s="72">
        <f>SUM(S11:S22)</f>
        <v>-7176.6079200000077</v>
      </c>
    </row>
    <row r="24" spans="1:19" s="72" customFormat="1" ht="31.5" customHeight="1" x14ac:dyDescent="0.25">
      <c r="A24" s="96"/>
      <c r="L24" s="72">
        <f>L23*P3</f>
        <v>58670.9856</v>
      </c>
    </row>
    <row r="25" spans="1:19" s="72" customFormat="1" ht="15.75" customHeight="1" x14ac:dyDescent="0.25">
      <c r="A25" s="96"/>
    </row>
    <row r="26" spans="1:19" s="72" customFormat="1" ht="15.75" customHeight="1" x14ac:dyDescent="0.25">
      <c r="A26" s="96"/>
    </row>
    <row r="27" spans="1:19" s="72" customFormat="1" ht="15.75" customHeight="1" x14ac:dyDescent="0.25">
      <c r="A27" s="96"/>
    </row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</sheetData>
  <mergeCells count="22"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  <mergeCell ref="S4:S5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A5" zoomScale="77" zoomScaleNormal="77" workbookViewId="0">
      <selection activeCell="K15" sqref="K15:K38"/>
    </sheetView>
  </sheetViews>
  <sheetFormatPr defaultRowHeight="15" x14ac:dyDescent="0.25"/>
  <cols>
    <col min="1" max="1" width="13.85546875" style="3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5" bestFit="1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20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0" ht="20.100000000000001" customHeight="1" x14ac:dyDescent="0.25">
      <c r="A2" s="134" t="s">
        <v>51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20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20" ht="68.25" customHeight="1" x14ac:dyDescent="0.25">
      <c r="A4" s="137" t="s">
        <v>4</v>
      </c>
      <c r="B4" s="137" t="s">
        <v>3</v>
      </c>
      <c r="C4" s="138" t="s">
        <v>13</v>
      </c>
      <c r="D4" s="137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20" ht="78" customHeight="1" x14ac:dyDescent="0.25">
      <c r="A5" s="137"/>
      <c r="B5" s="137"/>
      <c r="C5" s="139"/>
      <c r="D5" s="137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20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20" ht="20.100000000000001" hidden="1" customHeight="1" x14ac:dyDescent="0.25">
      <c r="A7" s="23">
        <v>44805</v>
      </c>
      <c r="B7" s="121">
        <v>4155.2</v>
      </c>
      <c r="C7" s="121">
        <v>1470.7</v>
      </c>
      <c r="D7" s="24" t="s">
        <v>52</v>
      </c>
      <c r="E7" s="121" t="s">
        <v>23</v>
      </c>
      <c r="F7" s="135"/>
      <c r="G7" s="135"/>
      <c r="H7" s="135"/>
      <c r="I7" s="135"/>
      <c r="J7" s="144"/>
      <c r="K7" s="111" t="s">
        <v>65</v>
      </c>
      <c r="L7" s="113">
        <v>1177</v>
      </c>
      <c r="M7" s="159"/>
      <c r="N7" s="159"/>
      <c r="O7" s="117">
        <v>1176.5619999999999</v>
      </c>
      <c r="P7" s="130">
        <f>O7*P2</f>
        <v>5176.8728000000001</v>
      </c>
      <c r="Q7" s="113"/>
      <c r="R7" s="113"/>
      <c r="S7" s="158">
        <v>0</v>
      </c>
    </row>
    <row r="8" spans="1:20" ht="20.100000000000001" hidden="1" customHeight="1" x14ac:dyDescent="0.25">
      <c r="A8" s="23">
        <v>44805</v>
      </c>
      <c r="B8" s="122"/>
      <c r="C8" s="122"/>
      <c r="D8" s="24" t="s">
        <v>53</v>
      </c>
      <c r="E8" s="122"/>
      <c r="F8" s="136"/>
      <c r="G8" s="136"/>
      <c r="H8" s="136"/>
      <c r="I8" s="136"/>
      <c r="J8" s="145"/>
      <c r="K8" s="112"/>
      <c r="L8" s="114"/>
      <c r="M8" s="160"/>
      <c r="N8" s="160"/>
      <c r="O8" s="118"/>
      <c r="P8" s="131"/>
      <c r="Q8" s="114"/>
      <c r="R8" s="114"/>
      <c r="S8" s="158"/>
    </row>
    <row r="9" spans="1:20" ht="20.100000000000001" hidden="1" customHeight="1" x14ac:dyDescent="0.25">
      <c r="A9" s="23">
        <v>44835</v>
      </c>
      <c r="B9" s="121">
        <v>4155.2</v>
      </c>
      <c r="C9" s="121">
        <v>1470.7</v>
      </c>
      <c r="D9" s="24" t="s">
        <v>52</v>
      </c>
      <c r="E9" s="121" t="s">
        <v>23</v>
      </c>
      <c r="F9" s="135">
        <f>5945.24+3278.04</f>
        <v>9223.2799999999988</v>
      </c>
      <c r="G9" s="135">
        <f>7137+336+105</f>
        <v>7578</v>
      </c>
      <c r="H9" s="135">
        <f>643+944+20+15+15</f>
        <v>1637</v>
      </c>
      <c r="I9" s="135">
        <f>F9-(G9+H9)</f>
        <v>8.2799999999988358</v>
      </c>
      <c r="J9" s="144">
        <v>8</v>
      </c>
      <c r="K9" s="111" t="s">
        <v>64</v>
      </c>
      <c r="L9" s="113">
        <v>8</v>
      </c>
      <c r="M9" s="115"/>
      <c r="N9" s="115"/>
      <c r="O9" s="117">
        <v>1176.5619999999999</v>
      </c>
      <c r="P9" s="130">
        <f>O9*P2</f>
        <v>5176.8728000000001</v>
      </c>
      <c r="Q9" s="132">
        <v>1168.5619999999999</v>
      </c>
      <c r="R9" s="132"/>
      <c r="S9" s="158">
        <f>-(Q9*P2)</f>
        <v>-5141.6728000000003</v>
      </c>
    </row>
    <row r="10" spans="1:20" ht="20.100000000000001" hidden="1" customHeight="1" x14ac:dyDescent="0.25">
      <c r="A10" s="23">
        <v>44835</v>
      </c>
      <c r="B10" s="122"/>
      <c r="C10" s="122"/>
      <c r="D10" s="24" t="s">
        <v>53</v>
      </c>
      <c r="E10" s="122"/>
      <c r="F10" s="136"/>
      <c r="G10" s="136"/>
      <c r="H10" s="136"/>
      <c r="I10" s="136"/>
      <c r="J10" s="145"/>
      <c r="K10" s="112"/>
      <c r="L10" s="114"/>
      <c r="M10" s="116"/>
      <c r="N10" s="116"/>
      <c r="O10" s="118"/>
      <c r="P10" s="131"/>
      <c r="Q10" s="133"/>
      <c r="R10" s="133"/>
      <c r="S10" s="158"/>
    </row>
    <row r="11" spans="1:20" ht="31.5" hidden="1" customHeight="1" x14ac:dyDescent="0.25">
      <c r="A11" s="23">
        <v>44866</v>
      </c>
      <c r="B11" s="121">
        <v>4155.2</v>
      </c>
      <c r="C11" s="121">
        <v>1470.7</v>
      </c>
      <c r="D11" s="24" t="s">
        <v>52</v>
      </c>
      <c r="E11" s="121" t="s">
        <v>23</v>
      </c>
      <c r="F11" s="135">
        <f>7493.96+3970.05</f>
        <v>11464.01</v>
      </c>
      <c r="G11" s="135">
        <f>5650+430+135</f>
        <v>6215</v>
      </c>
      <c r="H11" s="135">
        <f>749+1063+20+15+15</f>
        <v>1862</v>
      </c>
      <c r="I11" s="135">
        <f>F11-(G11+H11)</f>
        <v>3387.01</v>
      </c>
      <c r="J11" s="144">
        <v>3387</v>
      </c>
      <c r="K11" s="127" t="s">
        <v>66</v>
      </c>
      <c r="L11" s="119">
        <v>3387</v>
      </c>
      <c r="M11" s="147"/>
      <c r="N11" s="147"/>
      <c r="O11" s="117">
        <v>1176.5619999999999</v>
      </c>
      <c r="P11" s="125">
        <f>O11*P2</f>
        <v>5176.8728000000001</v>
      </c>
      <c r="Q11" s="109"/>
      <c r="R11" s="109">
        <v>2210.4380000000001</v>
      </c>
      <c r="S11" s="158">
        <f>R11*P2</f>
        <v>9725.9272000000019</v>
      </c>
    </row>
    <row r="12" spans="1:20" ht="31.5" hidden="1" customHeight="1" x14ac:dyDescent="0.25">
      <c r="A12" s="23">
        <v>44866</v>
      </c>
      <c r="B12" s="122"/>
      <c r="C12" s="122"/>
      <c r="D12" s="24" t="s">
        <v>53</v>
      </c>
      <c r="E12" s="122"/>
      <c r="F12" s="136"/>
      <c r="G12" s="136"/>
      <c r="H12" s="136"/>
      <c r="I12" s="136"/>
      <c r="J12" s="145"/>
      <c r="K12" s="128"/>
      <c r="L12" s="120"/>
      <c r="M12" s="148"/>
      <c r="N12" s="148"/>
      <c r="O12" s="118"/>
      <c r="P12" s="126"/>
      <c r="Q12" s="110"/>
      <c r="R12" s="110"/>
      <c r="S12" s="158"/>
    </row>
    <row r="13" spans="1:20" ht="31.5" hidden="1" customHeight="1" x14ac:dyDescent="0.25">
      <c r="A13" s="23">
        <v>44896</v>
      </c>
      <c r="B13" s="121">
        <v>4155.2</v>
      </c>
      <c r="C13" s="121">
        <v>1470.7</v>
      </c>
      <c r="D13" s="24" t="s">
        <v>52</v>
      </c>
      <c r="E13" s="121" t="s">
        <v>23</v>
      </c>
      <c r="F13" s="135">
        <f>4320+7573</f>
        <v>11893</v>
      </c>
      <c r="G13" s="135">
        <f>7873+444+105</f>
        <v>8422</v>
      </c>
      <c r="H13" s="135">
        <f>726+1061+20+15+15</f>
        <v>1837</v>
      </c>
      <c r="I13" s="135">
        <f>F13-(G13+H13)</f>
        <v>1634</v>
      </c>
      <c r="J13" s="144">
        <v>1634</v>
      </c>
      <c r="K13" s="127" t="s">
        <v>67</v>
      </c>
      <c r="L13" s="119">
        <v>1634</v>
      </c>
      <c r="M13" s="147"/>
      <c r="N13" s="147"/>
      <c r="O13" s="117">
        <v>1176.5619999999999</v>
      </c>
      <c r="P13" s="125">
        <f>O13*P3</f>
        <v>5635.7319799999996</v>
      </c>
      <c r="Q13" s="109"/>
      <c r="R13" s="109">
        <v>457.43799999999999</v>
      </c>
      <c r="S13" s="158">
        <f>R13*P3</f>
        <v>2191.1280200000001</v>
      </c>
    </row>
    <row r="14" spans="1:20" ht="31.5" hidden="1" customHeight="1" x14ac:dyDescent="0.25">
      <c r="A14" s="23">
        <v>44896</v>
      </c>
      <c r="B14" s="122"/>
      <c r="C14" s="122"/>
      <c r="D14" s="24" t="s">
        <v>53</v>
      </c>
      <c r="E14" s="122"/>
      <c r="F14" s="136"/>
      <c r="G14" s="136"/>
      <c r="H14" s="136"/>
      <c r="I14" s="136"/>
      <c r="J14" s="145"/>
      <c r="K14" s="128"/>
      <c r="L14" s="120"/>
      <c r="M14" s="148"/>
      <c r="N14" s="148"/>
      <c r="O14" s="118"/>
      <c r="P14" s="126"/>
      <c r="Q14" s="110"/>
      <c r="R14" s="110"/>
      <c r="S14" s="158"/>
    </row>
    <row r="15" spans="1:20" ht="15.75" customHeight="1" x14ac:dyDescent="0.25">
      <c r="A15" s="75">
        <v>44927</v>
      </c>
      <c r="B15" s="153">
        <v>4155.2</v>
      </c>
      <c r="C15" s="153">
        <v>1470.7</v>
      </c>
      <c r="D15" s="77" t="s">
        <v>52</v>
      </c>
      <c r="E15" s="153" t="s">
        <v>23</v>
      </c>
      <c r="F15" s="155">
        <f>7840.44+4493.79</f>
        <v>12334.23</v>
      </c>
      <c r="G15" s="155">
        <f>7600+351+105</f>
        <v>8056</v>
      </c>
      <c r="H15" s="155">
        <f>1153+20+15+15+609</f>
        <v>1812</v>
      </c>
      <c r="I15" s="155">
        <f>F15-(G15+H15)</f>
        <v>2466.2299999999996</v>
      </c>
      <c r="J15" s="155">
        <f>I15</f>
        <v>2466.2299999999996</v>
      </c>
      <c r="K15" s="149" t="s">
        <v>80</v>
      </c>
      <c r="L15" s="151">
        <f>IF(J15&lt;0,0,I15)</f>
        <v>2466.2299999999996</v>
      </c>
      <c r="M15" s="164"/>
      <c r="N15" s="164"/>
      <c r="O15" s="166">
        <v>1176.5619999999999</v>
      </c>
      <c r="P15" s="168">
        <f>O15*P3</f>
        <v>5635.7319799999996</v>
      </c>
      <c r="Q15" s="170"/>
      <c r="R15" s="161">
        <f>L15-O15</f>
        <v>1289.6679999999997</v>
      </c>
      <c r="S15" s="168">
        <f>R15*P3</f>
        <v>6177.5097199999982</v>
      </c>
      <c r="T15" s="17"/>
    </row>
    <row r="16" spans="1:20" ht="15.75" customHeight="1" x14ac:dyDescent="0.25">
      <c r="A16" s="75">
        <v>44927</v>
      </c>
      <c r="B16" s="154"/>
      <c r="C16" s="154"/>
      <c r="D16" s="77" t="s">
        <v>53</v>
      </c>
      <c r="E16" s="154"/>
      <c r="F16" s="156"/>
      <c r="G16" s="156"/>
      <c r="H16" s="156"/>
      <c r="I16" s="156"/>
      <c r="J16" s="156"/>
      <c r="K16" s="150"/>
      <c r="L16" s="152"/>
      <c r="M16" s="165"/>
      <c r="N16" s="165"/>
      <c r="O16" s="167"/>
      <c r="P16" s="169"/>
      <c r="Q16" s="152"/>
      <c r="R16" s="162"/>
      <c r="S16" s="169"/>
    </row>
    <row r="17" spans="1:19" ht="15.75" customHeight="1" x14ac:dyDescent="0.25">
      <c r="A17" s="75">
        <v>44958</v>
      </c>
      <c r="B17" s="153">
        <v>4155.2</v>
      </c>
      <c r="C17" s="153">
        <v>1470.7</v>
      </c>
      <c r="D17" s="77" t="s">
        <v>52</v>
      </c>
      <c r="E17" s="153" t="s">
        <v>23</v>
      </c>
      <c r="F17" s="155">
        <f>5578.24+2803.95</f>
        <v>8382.1899999999987</v>
      </c>
      <c r="G17" s="155">
        <f>7345+427+177</f>
        <v>7949</v>
      </c>
      <c r="H17" s="155">
        <f>664+822+20+15+15</f>
        <v>1536</v>
      </c>
      <c r="I17" s="155">
        <f t="shared" ref="I17" si="0">F17-(G17+H17)</f>
        <v>-1102.8100000000013</v>
      </c>
      <c r="J17" s="155">
        <f t="shared" ref="J17" si="1">I17</f>
        <v>-1102.8100000000013</v>
      </c>
      <c r="K17" s="149"/>
      <c r="L17" s="151">
        <f t="shared" ref="L17" si="2">IF(J17&lt;0,0,I17)</f>
        <v>0</v>
      </c>
      <c r="M17" s="164"/>
      <c r="N17" s="164"/>
      <c r="O17" s="166">
        <v>1176.5619999999999</v>
      </c>
      <c r="P17" s="168">
        <f>O17*P3</f>
        <v>5635.7319799999996</v>
      </c>
      <c r="Q17" s="170">
        <f>L17-O17</f>
        <v>-1176.5619999999999</v>
      </c>
      <c r="R17" s="161"/>
      <c r="S17" s="168">
        <f>Q17*P3</f>
        <v>-5635.7319799999996</v>
      </c>
    </row>
    <row r="18" spans="1:19" ht="15.75" customHeight="1" x14ac:dyDescent="0.25">
      <c r="A18" s="75">
        <v>44958</v>
      </c>
      <c r="B18" s="154"/>
      <c r="C18" s="154"/>
      <c r="D18" s="77" t="s">
        <v>53</v>
      </c>
      <c r="E18" s="154"/>
      <c r="F18" s="156"/>
      <c r="G18" s="156"/>
      <c r="H18" s="156"/>
      <c r="I18" s="156"/>
      <c r="J18" s="156"/>
      <c r="K18" s="150"/>
      <c r="L18" s="152"/>
      <c r="M18" s="165"/>
      <c r="N18" s="165"/>
      <c r="O18" s="167"/>
      <c r="P18" s="169"/>
      <c r="Q18" s="152"/>
      <c r="R18" s="162"/>
      <c r="S18" s="169"/>
    </row>
    <row r="19" spans="1:19" ht="15.75" customHeight="1" x14ac:dyDescent="0.25">
      <c r="A19" s="75">
        <v>44986</v>
      </c>
      <c r="B19" s="153">
        <v>4155.2</v>
      </c>
      <c r="C19" s="153">
        <v>1470.7</v>
      </c>
      <c r="D19" s="77" t="s">
        <v>52</v>
      </c>
      <c r="E19" s="153" t="s">
        <v>23</v>
      </c>
      <c r="F19" s="155">
        <f>8715.36+4450.17</f>
        <v>13165.53</v>
      </c>
      <c r="G19" s="155">
        <f>7590+359+109</f>
        <v>8058</v>
      </c>
      <c r="H19" s="155">
        <f>601+1281+20+15+15</f>
        <v>1932</v>
      </c>
      <c r="I19" s="155">
        <f t="shared" ref="I19" si="3">F19-(G19+H19)</f>
        <v>3175.5300000000007</v>
      </c>
      <c r="J19" s="155">
        <f>I19-1104</f>
        <v>2071.5300000000007</v>
      </c>
      <c r="K19" s="149" t="s">
        <v>81</v>
      </c>
      <c r="L19" s="151">
        <f>J19</f>
        <v>2071.5300000000007</v>
      </c>
      <c r="M19" s="164"/>
      <c r="N19" s="164"/>
      <c r="O19" s="166">
        <v>1176.5619999999999</v>
      </c>
      <c r="P19" s="168">
        <f>O19*P3</f>
        <v>5635.7319799999996</v>
      </c>
      <c r="Q19" s="170"/>
      <c r="R19" s="161">
        <f t="shared" ref="R19" si="4">L19-O19</f>
        <v>894.96800000000076</v>
      </c>
      <c r="S19" s="168">
        <f>R19*P3</f>
        <v>4286.8967200000034</v>
      </c>
    </row>
    <row r="20" spans="1:19" ht="15.75" customHeight="1" x14ac:dyDescent="0.25">
      <c r="A20" s="75">
        <v>44986</v>
      </c>
      <c r="B20" s="154"/>
      <c r="C20" s="154"/>
      <c r="D20" s="77" t="s">
        <v>53</v>
      </c>
      <c r="E20" s="154"/>
      <c r="F20" s="156"/>
      <c r="G20" s="156"/>
      <c r="H20" s="156"/>
      <c r="I20" s="156"/>
      <c r="J20" s="156"/>
      <c r="K20" s="150"/>
      <c r="L20" s="152"/>
      <c r="M20" s="165"/>
      <c r="N20" s="165"/>
      <c r="O20" s="167"/>
      <c r="P20" s="169"/>
      <c r="Q20" s="152"/>
      <c r="R20" s="162"/>
      <c r="S20" s="169"/>
    </row>
    <row r="21" spans="1:19" ht="15.75" customHeight="1" x14ac:dyDescent="0.25">
      <c r="A21" s="75">
        <v>45017</v>
      </c>
      <c r="B21" s="153">
        <v>4155.2</v>
      </c>
      <c r="C21" s="153">
        <v>1470.7</v>
      </c>
      <c r="D21" s="77" t="s">
        <v>52</v>
      </c>
      <c r="E21" s="153" t="s">
        <v>23</v>
      </c>
      <c r="F21" s="155">
        <f>7154.04+3554.01</f>
        <v>10708.05</v>
      </c>
      <c r="G21" s="155">
        <f>6619+345+110</f>
        <v>7074</v>
      </c>
      <c r="H21" s="155">
        <f>808+980+20+15+15</f>
        <v>1838</v>
      </c>
      <c r="I21" s="155">
        <f t="shared" ref="I21" si="5">F21-(G21+H21)</f>
        <v>1796.0499999999993</v>
      </c>
      <c r="J21" s="155">
        <f t="shared" ref="J21" si="6">I21</f>
        <v>1796.0499999999993</v>
      </c>
      <c r="K21" s="149" t="s">
        <v>82</v>
      </c>
      <c r="L21" s="151">
        <f t="shared" ref="L21" si="7">IF(J21&lt;0,0,I21)</f>
        <v>1796.0499999999993</v>
      </c>
      <c r="M21" s="164"/>
      <c r="N21" s="164"/>
      <c r="O21" s="166">
        <v>1176.5619999999999</v>
      </c>
      <c r="P21" s="168">
        <f>O21*P3</f>
        <v>5635.7319799999996</v>
      </c>
      <c r="Q21" s="170"/>
      <c r="R21" s="161">
        <f t="shared" ref="R21" si="8">L21-O21</f>
        <v>619.48799999999937</v>
      </c>
      <c r="S21" s="168">
        <f>R21*P3</f>
        <v>2967.3475199999971</v>
      </c>
    </row>
    <row r="22" spans="1:19" ht="15.75" customHeight="1" x14ac:dyDescent="0.25">
      <c r="A22" s="75">
        <v>45017</v>
      </c>
      <c r="B22" s="154"/>
      <c r="C22" s="154"/>
      <c r="D22" s="77" t="s">
        <v>53</v>
      </c>
      <c r="E22" s="154"/>
      <c r="F22" s="156"/>
      <c r="G22" s="156"/>
      <c r="H22" s="156"/>
      <c r="I22" s="156"/>
      <c r="J22" s="156"/>
      <c r="K22" s="150"/>
      <c r="L22" s="152"/>
      <c r="M22" s="165"/>
      <c r="N22" s="165"/>
      <c r="O22" s="167"/>
      <c r="P22" s="169"/>
      <c r="Q22" s="152"/>
      <c r="R22" s="162"/>
      <c r="S22" s="169"/>
    </row>
    <row r="23" spans="1:19" ht="15.75" customHeight="1" x14ac:dyDescent="0.25">
      <c r="A23" s="75">
        <v>45047</v>
      </c>
      <c r="B23" s="153">
        <v>4155.2</v>
      </c>
      <c r="C23" s="153">
        <v>1470.7</v>
      </c>
      <c r="D23" s="77" t="s">
        <v>52</v>
      </c>
      <c r="E23" s="153" t="s">
        <v>23</v>
      </c>
      <c r="F23" s="155">
        <f>7286.44+4195.08</f>
        <v>11481.52</v>
      </c>
      <c r="G23" s="155">
        <f>7697+405+116</f>
        <v>8218</v>
      </c>
      <c r="H23" s="155">
        <f>662+927+20+15+15</f>
        <v>1639</v>
      </c>
      <c r="I23" s="155">
        <f t="shared" ref="I23" si="9">F23-(G23+H23)</f>
        <v>1624.5200000000004</v>
      </c>
      <c r="J23" s="155">
        <f>I23-1</f>
        <v>1623.5200000000004</v>
      </c>
      <c r="K23" s="149" t="s">
        <v>83</v>
      </c>
      <c r="L23" s="151">
        <f>J23</f>
        <v>1623.5200000000004</v>
      </c>
      <c r="M23" s="164"/>
      <c r="N23" s="164"/>
      <c r="O23" s="166">
        <v>1176.5619999999999</v>
      </c>
      <c r="P23" s="168">
        <f>O23*P3</f>
        <v>5635.7319799999996</v>
      </c>
      <c r="Q23" s="170"/>
      <c r="R23" s="161">
        <f t="shared" ref="R23" si="10">L23-O23</f>
        <v>446.95800000000054</v>
      </c>
      <c r="S23" s="168">
        <f>R23*P3</f>
        <v>2140.9288200000028</v>
      </c>
    </row>
    <row r="24" spans="1:19" ht="15.75" customHeight="1" x14ac:dyDescent="0.25">
      <c r="A24" s="75">
        <v>45047</v>
      </c>
      <c r="B24" s="154"/>
      <c r="C24" s="154"/>
      <c r="D24" s="77" t="s">
        <v>53</v>
      </c>
      <c r="E24" s="154"/>
      <c r="F24" s="156"/>
      <c r="G24" s="156"/>
      <c r="H24" s="156"/>
      <c r="I24" s="156"/>
      <c r="J24" s="156"/>
      <c r="K24" s="150"/>
      <c r="L24" s="152"/>
      <c r="M24" s="165"/>
      <c r="N24" s="165"/>
      <c r="O24" s="167"/>
      <c r="P24" s="169"/>
      <c r="Q24" s="152"/>
      <c r="R24" s="162"/>
      <c r="S24" s="169"/>
    </row>
    <row r="25" spans="1:19" ht="15.75" customHeight="1" x14ac:dyDescent="0.25">
      <c r="A25" s="75">
        <v>45078</v>
      </c>
      <c r="B25" s="153">
        <v>4155.2</v>
      </c>
      <c r="C25" s="153">
        <v>1470.7</v>
      </c>
      <c r="D25" s="77" t="s">
        <v>52</v>
      </c>
      <c r="E25" s="153" t="s">
        <v>23</v>
      </c>
      <c r="F25" s="155">
        <f>6278.16+3460.5</f>
        <v>9738.66</v>
      </c>
      <c r="G25" s="155">
        <f>7194+297+103</f>
        <v>7594</v>
      </c>
      <c r="H25" s="155">
        <f>632+1200+20+15+15</f>
        <v>1882</v>
      </c>
      <c r="I25" s="155">
        <f t="shared" ref="I25" si="11">F25-(G25+H25)</f>
        <v>262.65999999999985</v>
      </c>
      <c r="J25" s="155">
        <f t="shared" ref="J25" si="12">I25</f>
        <v>262.65999999999985</v>
      </c>
      <c r="K25" s="149" t="s">
        <v>84</v>
      </c>
      <c r="L25" s="151">
        <f t="shared" ref="L25" si="13">IF(J25&lt;0,0,I25)</f>
        <v>262.65999999999985</v>
      </c>
      <c r="M25" s="164"/>
      <c r="N25" s="164"/>
      <c r="O25" s="166">
        <v>1176.5619999999999</v>
      </c>
      <c r="P25" s="168">
        <f>O25*P3</f>
        <v>5635.7319799999996</v>
      </c>
      <c r="Q25" s="170">
        <f>L25-O25</f>
        <v>-913.90200000000004</v>
      </c>
      <c r="R25" s="161"/>
      <c r="S25" s="168">
        <f>Q25*P3</f>
        <v>-4377.59058</v>
      </c>
    </row>
    <row r="26" spans="1:19" ht="15.75" customHeight="1" x14ac:dyDescent="0.25">
      <c r="A26" s="75">
        <v>45078</v>
      </c>
      <c r="B26" s="154"/>
      <c r="C26" s="154"/>
      <c r="D26" s="77" t="s">
        <v>53</v>
      </c>
      <c r="E26" s="154"/>
      <c r="F26" s="156"/>
      <c r="G26" s="156"/>
      <c r="H26" s="156"/>
      <c r="I26" s="156"/>
      <c r="J26" s="156"/>
      <c r="K26" s="150"/>
      <c r="L26" s="152"/>
      <c r="M26" s="165"/>
      <c r="N26" s="165"/>
      <c r="O26" s="167"/>
      <c r="P26" s="169"/>
      <c r="Q26" s="152"/>
      <c r="R26" s="162"/>
      <c r="S26" s="169"/>
    </row>
    <row r="27" spans="1:19" ht="15.75" customHeight="1" x14ac:dyDescent="0.25">
      <c r="A27" s="75">
        <v>45108</v>
      </c>
      <c r="B27" s="153">
        <v>4155.2</v>
      </c>
      <c r="C27" s="153">
        <v>1470.7</v>
      </c>
      <c r="D27" s="77" t="s">
        <v>52</v>
      </c>
      <c r="E27" s="153" t="s">
        <v>23</v>
      </c>
      <c r="F27" s="155">
        <f>5998.04+3170.73</f>
        <v>9168.77</v>
      </c>
      <c r="G27" s="155">
        <f>6026+21-10</f>
        <v>6037</v>
      </c>
      <c r="H27" s="155">
        <f>819+999+20+15+15</f>
        <v>1868</v>
      </c>
      <c r="I27" s="155">
        <f t="shared" ref="I27" si="14">F27-(G27+H27)</f>
        <v>1263.7700000000004</v>
      </c>
      <c r="J27" s="155">
        <f t="shared" ref="J27" si="15">I27</f>
        <v>1263.7700000000004</v>
      </c>
      <c r="K27" s="149" t="s">
        <v>85</v>
      </c>
      <c r="L27" s="151">
        <f t="shared" ref="L27" si="16">IF(J27&lt;0,0,I27)</f>
        <v>1263.7700000000004</v>
      </c>
      <c r="M27" s="164"/>
      <c r="N27" s="164"/>
      <c r="O27" s="166">
        <v>1176.5619999999999</v>
      </c>
      <c r="P27" s="168">
        <f>O27*P3</f>
        <v>5635.7319799999996</v>
      </c>
      <c r="Q27" s="170"/>
      <c r="R27" s="161">
        <f t="shared" ref="R27" si="17">L27-O27</f>
        <v>87.208000000000538</v>
      </c>
      <c r="S27" s="168">
        <f>R27*P3</f>
        <v>417.7263200000026</v>
      </c>
    </row>
    <row r="28" spans="1:19" ht="15.75" customHeight="1" x14ac:dyDescent="0.25">
      <c r="A28" s="75">
        <v>45108</v>
      </c>
      <c r="B28" s="154"/>
      <c r="C28" s="154"/>
      <c r="D28" s="77" t="s">
        <v>53</v>
      </c>
      <c r="E28" s="154"/>
      <c r="F28" s="156"/>
      <c r="G28" s="156"/>
      <c r="H28" s="156"/>
      <c r="I28" s="156"/>
      <c r="J28" s="156"/>
      <c r="K28" s="150"/>
      <c r="L28" s="152"/>
      <c r="M28" s="165"/>
      <c r="N28" s="165"/>
      <c r="O28" s="167"/>
      <c r="P28" s="169"/>
      <c r="Q28" s="152"/>
      <c r="R28" s="162"/>
      <c r="S28" s="169"/>
    </row>
    <row r="29" spans="1:19" ht="15.75" customHeight="1" x14ac:dyDescent="0.25">
      <c r="A29" s="75">
        <v>45139</v>
      </c>
      <c r="B29" s="153">
        <v>4155.2</v>
      </c>
      <c r="C29" s="153">
        <v>1470.7</v>
      </c>
      <c r="D29" s="77" t="s">
        <v>52</v>
      </c>
      <c r="E29" s="153" t="s">
        <v>23</v>
      </c>
      <c r="F29" s="155">
        <f>7017.24+4299.45</f>
        <v>11316.689999999999</v>
      </c>
      <c r="G29" s="155">
        <f>7342+227+57</f>
        <v>7626</v>
      </c>
      <c r="H29" s="155">
        <f>785+1508+20+15+15</f>
        <v>2343</v>
      </c>
      <c r="I29" s="155">
        <f t="shared" ref="I29" si="18">F29-(G29+H29)</f>
        <v>1347.6899999999987</v>
      </c>
      <c r="J29" s="155">
        <f>I29-1</f>
        <v>1346.6899999999987</v>
      </c>
      <c r="K29" s="149" t="s">
        <v>86</v>
      </c>
      <c r="L29" s="151">
        <f>J29</f>
        <v>1346.6899999999987</v>
      </c>
      <c r="M29" s="164"/>
      <c r="N29" s="164"/>
      <c r="O29" s="166">
        <v>1176.5619999999999</v>
      </c>
      <c r="P29" s="168">
        <f>O29*P3</f>
        <v>5635.7319799999996</v>
      </c>
      <c r="Q29" s="170"/>
      <c r="R29" s="161">
        <f t="shared" ref="R29" si="19">L29-O29</f>
        <v>170.12799999999879</v>
      </c>
      <c r="S29" s="168">
        <f>R29*P3</f>
        <v>814.91311999999425</v>
      </c>
    </row>
    <row r="30" spans="1:19" ht="15.75" customHeight="1" x14ac:dyDescent="0.25">
      <c r="A30" s="75">
        <v>45139</v>
      </c>
      <c r="B30" s="154"/>
      <c r="C30" s="154"/>
      <c r="D30" s="77" t="s">
        <v>53</v>
      </c>
      <c r="E30" s="154"/>
      <c r="F30" s="156"/>
      <c r="G30" s="156"/>
      <c r="H30" s="156"/>
      <c r="I30" s="156"/>
      <c r="J30" s="156"/>
      <c r="K30" s="150"/>
      <c r="L30" s="152"/>
      <c r="M30" s="165"/>
      <c r="N30" s="165"/>
      <c r="O30" s="167"/>
      <c r="P30" s="169"/>
      <c r="Q30" s="152"/>
      <c r="R30" s="162"/>
      <c r="S30" s="169"/>
    </row>
    <row r="31" spans="1:19" ht="15.75" customHeight="1" x14ac:dyDescent="0.25">
      <c r="A31" s="75">
        <v>45170</v>
      </c>
      <c r="B31" s="153">
        <v>4155.2</v>
      </c>
      <c r="C31" s="153">
        <v>1470.7</v>
      </c>
      <c r="D31" s="77" t="s">
        <v>52</v>
      </c>
      <c r="E31" s="153" t="s">
        <v>23</v>
      </c>
      <c r="F31" s="155">
        <f>8090.04+3843.66</f>
        <v>11933.7</v>
      </c>
      <c r="G31" s="155">
        <f>6173+235+63</f>
        <v>6471</v>
      </c>
      <c r="H31" s="155">
        <f>687+1137+20+15+15</f>
        <v>1874</v>
      </c>
      <c r="I31" s="155">
        <f t="shared" ref="I31" si="20">F31-(G31+H31)</f>
        <v>3588.7000000000007</v>
      </c>
      <c r="J31" s="155">
        <f t="shared" ref="J31" si="21">I31</f>
        <v>3588.7000000000007</v>
      </c>
      <c r="K31" s="149" t="s">
        <v>87</v>
      </c>
      <c r="L31" s="151">
        <f t="shared" ref="L31" si="22">IF(J31&lt;0,0,I31)</f>
        <v>3588.7000000000007</v>
      </c>
      <c r="M31" s="164"/>
      <c r="N31" s="164"/>
      <c r="O31" s="166">
        <v>1176.5619999999999</v>
      </c>
      <c r="P31" s="168">
        <f>O31*P3</f>
        <v>5635.7319799999996</v>
      </c>
      <c r="Q31" s="170"/>
      <c r="R31" s="161">
        <f t="shared" ref="R31" si="23">L31-O31</f>
        <v>2412.1380000000008</v>
      </c>
      <c r="S31" s="168">
        <f>R31*P3</f>
        <v>11554.141020000005</v>
      </c>
    </row>
    <row r="32" spans="1:19" ht="15.75" customHeight="1" x14ac:dyDescent="0.25">
      <c r="A32" s="75">
        <v>45170</v>
      </c>
      <c r="B32" s="154"/>
      <c r="C32" s="154"/>
      <c r="D32" s="77" t="s">
        <v>53</v>
      </c>
      <c r="E32" s="154"/>
      <c r="F32" s="156"/>
      <c r="G32" s="156"/>
      <c r="H32" s="156"/>
      <c r="I32" s="156"/>
      <c r="J32" s="156"/>
      <c r="K32" s="150"/>
      <c r="L32" s="152"/>
      <c r="M32" s="165"/>
      <c r="N32" s="165"/>
      <c r="O32" s="167"/>
      <c r="P32" s="169"/>
      <c r="Q32" s="152"/>
      <c r="R32" s="162"/>
      <c r="S32" s="169"/>
    </row>
    <row r="33" spans="1:19" ht="15.75" customHeight="1" x14ac:dyDescent="0.25">
      <c r="A33" s="75">
        <v>45200</v>
      </c>
      <c r="B33" s="153">
        <v>4155.2</v>
      </c>
      <c r="C33" s="153">
        <v>1470.7</v>
      </c>
      <c r="D33" s="77" t="s">
        <v>52</v>
      </c>
      <c r="E33" s="153" t="s">
        <v>23</v>
      </c>
      <c r="F33" s="155">
        <f>8489.08+4111.08</f>
        <v>12600.16</v>
      </c>
      <c r="G33" s="155">
        <f>8848+487+213</f>
        <v>9548</v>
      </c>
      <c r="H33" s="155">
        <f>820+1092+20+15+15</f>
        <v>1962</v>
      </c>
      <c r="I33" s="155">
        <f t="shared" ref="I33" si="24">F33-(G33+H33)</f>
        <v>1090.1599999999999</v>
      </c>
      <c r="J33" s="155">
        <f t="shared" ref="J33" si="25">I33</f>
        <v>1090.1599999999999</v>
      </c>
      <c r="K33" s="149" t="s">
        <v>88</v>
      </c>
      <c r="L33" s="151">
        <f t="shared" ref="L33" si="26">IF(J33&lt;0,0,I33)</f>
        <v>1090.1599999999999</v>
      </c>
      <c r="M33" s="164"/>
      <c r="N33" s="164"/>
      <c r="O33" s="166">
        <v>1176.5619999999999</v>
      </c>
      <c r="P33" s="168">
        <f>O33*P3</f>
        <v>5635.7319799999996</v>
      </c>
      <c r="Q33" s="170">
        <f t="shared" ref="Q33" si="27">L33-O33</f>
        <v>-86.402000000000044</v>
      </c>
      <c r="R33" s="161"/>
      <c r="S33" s="168">
        <f>Q33*P3</f>
        <v>-413.86558000000019</v>
      </c>
    </row>
    <row r="34" spans="1:19" ht="15.75" customHeight="1" x14ac:dyDescent="0.25">
      <c r="A34" s="75">
        <v>45200</v>
      </c>
      <c r="B34" s="154"/>
      <c r="C34" s="154"/>
      <c r="D34" s="77" t="s">
        <v>53</v>
      </c>
      <c r="E34" s="154"/>
      <c r="F34" s="156"/>
      <c r="G34" s="156"/>
      <c r="H34" s="156"/>
      <c r="I34" s="156"/>
      <c r="J34" s="156"/>
      <c r="K34" s="150"/>
      <c r="L34" s="152"/>
      <c r="M34" s="165"/>
      <c r="N34" s="165"/>
      <c r="O34" s="167"/>
      <c r="P34" s="169"/>
      <c r="Q34" s="152"/>
      <c r="R34" s="162"/>
      <c r="S34" s="169"/>
    </row>
    <row r="35" spans="1:19" ht="15.75" customHeight="1" x14ac:dyDescent="0.25">
      <c r="A35" s="75">
        <v>45231</v>
      </c>
      <c r="B35" s="153">
        <v>4155.2</v>
      </c>
      <c r="C35" s="153">
        <v>1470.7</v>
      </c>
      <c r="D35" s="77" t="s">
        <v>52</v>
      </c>
      <c r="E35" s="153" t="s">
        <v>23</v>
      </c>
      <c r="F35" s="155">
        <f>7677.6+4153.95</f>
        <v>11831.55</v>
      </c>
      <c r="G35" s="155">
        <f>7374+1073+418</f>
        <v>8865</v>
      </c>
      <c r="H35" s="155">
        <f>825+974+20+15+15</f>
        <v>1849</v>
      </c>
      <c r="I35" s="155">
        <f t="shared" ref="I35" si="28">F35-(G35+H35)</f>
        <v>1117.5499999999993</v>
      </c>
      <c r="J35" s="155">
        <f t="shared" ref="J35" si="29">I35</f>
        <v>1117.5499999999993</v>
      </c>
      <c r="K35" s="149" t="s">
        <v>89</v>
      </c>
      <c r="L35" s="151">
        <f t="shared" ref="L35" si="30">IF(J35&lt;0,0,I35)</f>
        <v>1117.5499999999993</v>
      </c>
      <c r="M35" s="164"/>
      <c r="N35" s="164"/>
      <c r="O35" s="166">
        <v>1176.5619999999999</v>
      </c>
      <c r="P35" s="168">
        <f>O35*P3</f>
        <v>5635.7319799999996</v>
      </c>
      <c r="Q35" s="170">
        <f t="shared" ref="Q35" si="31">L35-O35</f>
        <v>-59.012000000000626</v>
      </c>
      <c r="R35" s="161"/>
      <c r="S35" s="168">
        <f>Q35*P3</f>
        <v>-282.66748000000302</v>
      </c>
    </row>
    <row r="36" spans="1:19" ht="15.75" customHeight="1" x14ac:dyDescent="0.25">
      <c r="A36" s="75">
        <v>45231</v>
      </c>
      <c r="B36" s="154"/>
      <c r="C36" s="154"/>
      <c r="D36" s="77" t="s">
        <v>53</v>
      </c>
      <c r="E36" s="154"/>
      <c r="F36" s="156"/>
      <c r="G36" s="156"/>
      <c r="H36" s="156"/>
      <c r="I36" s="156"/>
      <c r="J36" s="156"/>
      <c r="K36" s="150"/>
      <c r="L36" s="152"/>
      <c r="M36" s="165"/>
      <c r="N36" s="165"/>
      <c r="O36" s="167"/>
      <c r="P36" s="169"/>
      <c r="Q36" s="152"/>
      <c r="R36" s="162"/>
      <c r="S36" s="169"/>
    </row>
    <row r="37" spans="1:19" ht="15.75" customHeight="1" x14ac:dyDescent="0.25">
      <c r="A37" s="75">
        <v>45261</v>
      </c>
      <c r="B37" s="153">
        <v>4155.2</v>
      </c>
      <c r="C37" s="153">
        <v>1470.7</v>
      </c>
      <c r="D37" s="77" t="s">
        <v>52</v>
      </c>
      <c r="E37" s="153" t="s">
        <v>23</v>
      </c>
      <c r="F37" s="155">
        <f>7410.48+5193.63</f>
        <v>12604.11</v>
      </c>
      <c r="G37" s="155">
        <f>6682+419+131</f>
        <v>7232</v>
      </c>
      <c r="H37" s="155">
        <f>893+1033+20+15+15</f>
        <v>1976</v>
      </c>
      <c r="I37" s="155">
        <f t="shared" ref="I37" si="32">F37-(G37+H37)</f>
        <v>3396.1100000000006</v>
      </c>
      <c r="J37" s="155">
        <f t="shared" ref="J37" si="33">I37</f>
        <v>3396.1100000000006</v>
      </c>
      <c r="K37" s="149" t="s">
        <v>90</v>
      </c>
      <c r="L37" s="151">
        <f t="shared" ref="L37" si="34">IF(J37&lt;0,0,I37)</f>
        <v>3396.1100000000006</v>
      </c>
      <c r="M37" s="164"/>
      <c r="N37" s="164"/>
      <c r="O37" s="166">
        <v>1176.5619999999999</v>
      </c>
      <c r="P37" s="168">
        <f>O37*P3</f>
        <v>5635.7319799999996</v>
      </c>
      <c r="Q37" s="170"/>
      <c r="R37" s="161">
        <f>L37-O37</f>
        <v>2219.5480000000007</v>
      </c>
      <c r="S37" s="168">
        <f>R37*P3</f>
        <v>10631.634920000004</v>
      </c>
    </row>
    <row r="38" spans="1:19" ht="15.75" customHeight="1" x14ac:dyDescent="0.25">
      <c r="A38" s="75">
        <v>45261</v>
      </c>
      <c r="B38" s="154"/>
      <c r="C38" s="154"/>
      <c r="D38" s="77" t="s">
        <v>53</v>
      </c>
      <c r="E38" s="154"/>
      <c r="F38" s="156"/>
      <c r="G38" s="156"/>
      <c r="H38" s="156"/>
      <c r="I38" s="156"/>
      <c r="J38" s="156"/>
      <c r="K38" s="150"/>
      <c r="L38" s="152"/>
      <c r="M38" s="165"/>
      <c r="N38" s="165"/>
      <c r="O38" s="167"/>
      <c r="P38" s="169"/>
      <c r="Q38" s="152"/>
      <c r="R38" s="162"/>
      <c r="S38" s="169"/>
    </row>
    <row r="39" spans="1:19" s="72" customFormat="1" ht="31.5" customHeight="1" x14ac:dyDescent="0.25">
      <c r="A39" s="96"/>
      <c r="L39" s="72">
        <f>SUM(L15:L38)</f>
        <v>20022.97</v>
      </c>
      <c r="O39" s="72">
        <f>SUM(O15:O38)</f>
        <v>14118.743999999999</v>
      </c>
      <c r="P39" s="72">
        <f>SUM(P15:P38)</f>
        <v>67628.783759999977</v>
      </c>
      <c r="R39" s="72">
        <f>SUM(Q15:R38)</f>
        <v>5904.2260000000006</v>
      </c>
      <c r="S39" s="72">
        <f>SUM(S15:S38)</f>
        <v>28281.242540000003</v>
      </c>
    </row>
    <row r="40" spans="1:19" s="72" customFormat="1" ht="31.5" customHeight="1" x14ac:dyDescent="0.25">
      <c r="A40" s="96"/>
      <c r="L40" s="72">
        <f>L39*P3</f>
        <v>95910.026300000012</v>
      </c>
    </row>
  </sheetData>
  <mergeCells count="294">
    <mergeCell ref="R13:R14"/>
    <mergeCell ref="Q13:Q14"/>
    <mergeCell ref="M13:M14"/>
    <mergeCell ref="N13:N14"/>
    <mergeCell ref="O13:O14"/>
    <mergeCell ref="P13:P14"/>
    <mergeCell ref="S4:S5"/>
    <mergeCell ref="S7:S8"/>
    <mergeCell ref="S9:S10"/>
    <mergeCell ref="S11:S12"/>
    <mergeCell ref="S13:S14"/>
    <mergeCell ref="Q9:Q10"/>
    <mergeCell ref="R9:R10"/>
    <mergeCell ref="Q7:Q8"/>
    <mergeCell ref="R7:R8"/>
    <mergeCell ref="Q4:R4"/>
    <mergeCell ref="N4:N5"/>
    <mergeCell ref="B11:B12"/>
    <mergeCell ref="C11:C12"/>
    <mergeCell ref="E11:E12"/>
    <mergeCell ref="F11:F12"/>
    <mergeCell ref="G11:G12"/>
    <mergeCell ref="H11:H12"/>
    <mergeCell ref="I11:I12"/>
    <mergeCell ref="I9:I10"/>
    <mergeCell ref="K9:K10"/>
    <mergeCell ref="L9:L10"/>
    <mergeCell ref="M9:M10"/>
    <mergeCell ref="N9:N10"/>
    <mergeCell ref="O9:O10"/>
    <mergeCell ref="Q11:Q12"/>
    <mergeCell ref="R11:R12"/>
    <mergeCell ref="K11:K12"/>
    <mergeCell ref="L11:L12"/>
    <mergeCell ref="M11:M12"/>
    <mergeCell ref="N11:N12"/>
    <mergeCell ref="O11:O12"/>
    <mergeCell ref="P11:P12"/>
    <mergeCell ref="P9:P10"/>
    <mergeCell ref="J7:J8"/>
    <mergeCell ref="J9:J10"/>
    <mergeCell ref="O4:O5"/>
    <mergeCell ref="P4:P5"/>
    <mergeCell ref="L7:L8"/>
    <mergeCell ref="B9:B10"/>
    <mergeCell ref="C9:C10"/>
    <mergeCell ref="E9:E10"/>
    <mergeCell ref="F9:F10"/>
    <mergeCell ref="G9:G10"/>
    <mergeCell ref="H9:H10"/>
    <mergeCell ref="M7:M8"/>
    <mergeCell ref="N7:N8"/>
    <mergeCell ref="O7:O8"/>
    <mergeCell ref="B7:B8"/>
    <mergeCell ref="C7:C8"/>
    <mergeCell ref="E7:E8"/>
    <mergeCell ref="F7:F8"/>
    <mergeCell ref="G7:G8"/>
    <mergeCell ref="H7:H8"/>
    <mergeCell ref="I7:I8"/>
    <mergeCell ref="K7:K8"/>
    <mergeCell ref="M4:M5"/>
    <mergeCell ref="P7:P8"/>
    <mergeCell ref="A2:D2"/>
    <mergeCell ref="A4:A5"/>
    <mergeCell ref="B4:B5"/>
    <mergeCell ref="C4:C5"/>
    <mergeCell ref="D4:D5"/>
    <mergeCell ref="A1:S1"/>
    <mergeCell ref="J2:N2"/>
    <mergeCell ref="J3:N3"/>
    <mergeCell ref="J4:J5"/>
    <mergeCell ref="S2:S3"/>
    <mergeCell ref="K15:K16"/>
    <mergeCell ref="L15:L16"/>
    <mergeCell ref="B15:B16"/>
    <mergeCell ref="C15:C16"/>
    <mergeCell ref="E15:E16"/>
    <mergeCell ref="F15:F16"/>
    <mergeCell ref="G15:G16"/>
    <mergeCell ref="E4:E5"/>
    <mergeCell ref="F4:F5"/>
    <mergeCell ref="G4:G5"/>
    <mergeCell ref="H4:H5"/>
    <mergeCell ref="J11:J12"/>
    <mergeCell ref="B13:B14"/>
    <mergeCell ref="C13:C14"/>
    <mergeCell ref="E13:E14"/>
    <mergeCell ref="F13:F14"/>
    <mergeCell ref="G13:G14"/>
    <mergeCell ref="H13:H14"/>
    <mergeCell ref="I13:I14"/>
    <mergeCell ref="K13:K14"/>
    <mergeCell ref="L13:L14"/>
    <mergeCell ref="J13:J14"/>
    <mergeCell ref="I4:I5"/>
    <mergeCell ref="K4:L4"/>
    <mergeCell ref="R15:R16"/>
    <mergeCell ref="S15:S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M15:M16"/>
    <mergeCell ref="N15:N16"/>
    <mergeCell ref="O15:O16"/>
    <mergeCell ref="P15:P16"/>
    <mergeCell ref="Q15:Q16"/>
    <mergeCell ref="H15:H16"/>
    <mergeCell ref="I15:I16"/>
    <mergeCell ref="J15:J16"/>
    <mergeCell ref="Q17:Q18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H23:H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L25:L26"/>
    <mergeCell ref="M25:M26"/>
    <mergeCell ref="N25:N26"/>
    <mergeCell ref="O25:O26"/>
    <mergeCell ref="P25:P26"/>
    <mergeCell ref="M23:M24"/>
    <mergeCell ref="N23:N24"/>
    <mergeCell ref="O23:O24"/>
    <mergeCell ref="P23:P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9:L30"/>
    <mergeCell ref="M29:M30"/>
    <mergeCell ref="N29:N30"/>
    <mergeCell ref="M31:M32"/>
    <mergeCell ref="N31:N32"/>
    <mergeCell ref="O31:O32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M33:M34"/>
    <mergeCell ref="N33:N34"/>
    <mergeCell ref="O33:O34"/>
    <mergeCell ref="P33:P34"/>
    <mergeCell ref="B31:B32"/>
    <mergeCell ref="C31:C32"/>
    <mergeCell ref="E31:E32"/>
    <mergeCell ref="F31:F32"/>
    <mergeCell ref="G31:G32"/>
    <mergeCell ref="H31:H32"/>
    <mergeCell ref="I31:I32"/>
    <mergeCell ref="J31:J32"/>
    <mergeCell ref="K31:K32"/>
    <mergeCell ref="L31:L32"/>
    <mergeCell ref="H33:H34"/>
    <mergeCell ref="I33:I34"/>
    <mergeCell ref="J33:J34"/>
    <mergeCell ref="K33:K34"/>
    <mergeCell ref="L33:L34"/>
    <mergeCell ref="L37:L38"/>
    <mergeCell ref="M37:M38"/>
    <mergeCell ref="N37:N38"/>
    <mergeCell ref="Q33:Q34"/>
    <mergeCell ref="R33:R34"/>
    <mergeCell ref="S33:S34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B33:B34"/>
    <mergeCell ref="C33:C34"/>
    <mergeCell ref="E33:E34"/>
    <mergeCell ref="F33:F34"/>
    <mergeCell ref="G33:G34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O37:O38"/>
    <mergeCell ref="P37:P38"/>
    <mergeCell ref="Q37:Q38"/>
    <mergeCell ref="R37:R38"/>
    <mergeCell ref="S37:S38"/>
    <mergeCell ref="P35:P36"/>
    <mergeCell ref="Q35:Q36"/>
    <mergeCell ref="R35:R36"/>
    <mergeCell ref="S35:S36"/>
    <mergeCell ref="Q23:Q24"/>
    <mergeCell ref="O21:O22"/>
    <mergeCell ref="P21:P22"/>
    <mergeCell ref="Q21:Q22"/>
    <mergeCell ref="R31:R32"/>
    <mergeCell ref="S31:S32"/>
    <mergeCell ref="S29:S30"/>
    <mergeCell ref="P27:P28"/>
    <mergeCell ref="Q27:Q28"/>
    <mergeCell ref="R27:R28"/>
    <mergeCell ref="S27:S28"/>
    <mergeCell ref="Q25:Q26"/>
    <mergeCell ref="R25:R26"/>
    <mergeCell ref="S25:S26"/>
    <mergeCell ref="P31:P32"/>
    <mergeCell ref="Q31:Q32"/>
    <mergeCell ref="O29:O30"/>
    <mergeCell ref="P29:P30"/>
    <mergeCell ref="Q29:Q30"/>
    <mergeCell ref="R29:R30"/>
    <mergeCell ref="R23:R24"/>
    <mergeCell ref="S23:S24"/>
    <mergeCell ref="R21:R22"/>
    <mergeCell ref="S21:S22"/>
  </mergeCells>
  <pageMargins left="0.25" right="0.25" top="0.75" bottom="0.75" header="0.3" footer="0.3"/>
  <pageSetup paperSize="9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78" zoomScaleNormal="78" workbookViewId="0">
      <selection activeCell="K11" sqref="K11:K22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54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19</v>
      </c>
    </row>
    <row r="7" spans="1:19" ht="39.75" hidden="1" customHeight="1" x14ac:dyDescent="0.25">
      <c r="A7" s="23">
        <v>44805</v>
      </c>
      <c r="B7" s="13">
        <v>1929.3</v>
      </c>
      <c r="C7" s="13">
        <v>387.9</v>
      </c>
      <c r="D7" s="24" t="s">
        <v>55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279</v>
      </c>
      <c r="M7" s="37"/>
      <c r="N7" s="37"/>
      <c r="O7" s="68">
        <v>279.286</v>
      </c>
      <c r="P7" s="38">
        <f>O7*P2</f>
        <v>1228.8584000000001</v>
      </c>
      <c r="Q7" s="37"/>
      <c r="R7" s="37"/>
      <c r="S7" s="20">
        <v>0</v>
      </c>
    </row>
    <row r="8" spans="1:19" ht="39.75" hidden="1" customHeight="1" x14ac:dyDescent="0.25">
      <c r="A8" s="23">
        <v>44835</v>
      </c>
      <c r="B8" s="13">
        <v>1929.3</v>
      </c>
      <c r="C8" s="13">
        <v>387.9</v>
      </c>
      <c r="D8" s="24" t="s">
        <v>55</v>
      </c>
      <c r="E8" s="13" t="s">
        <v>23</v>
      </c>
      <c r="F8" s="14">
        <v>3833</v>
      </c>
      <c r="G8" s="14">
        <f>3652</f>
        <v>3652</v>
      </c>
      <c r="H8" s="14">
        <f>709+16+15</f>
        <v>740</v>
      </c>
      <c r="I8" s="14">
        <f>F8-(G8+H8)</f>
        <v>-559</v>
      </c>
      <c r="J8" s="35">
        <f>I8</f>
        <v>-559</v>
      </c>
      <c r="K8" s="39" t="s">
        <v>64</v>
      </c>
      <c r="L8" s="46">
        <v>0</v>
      </c>
      <c r="M8" s="41">
        <f>L8*(1/B8)</f>
        <v>0</v>
      </c>
      <c r="N8" s="41">
        <f>M8*P2</f>
        <v>0</v>
      </c>
      <c r="O8" s="68">
        <v>279.286</v>
      </c>
      <c r="P8" s="38">
        <f>O8*P2</f>
        <v>1228.8584000000001</v>
      </c>
      <c r="Q8" s="62">
        <v>279.286</v>
      </c>
      <c r="R8" s="40"/>
      <c r="S8" s="20">
        <f>-Q8*P2</f>
        <v>-1228.8584000000001</v>
      </c>
    </row>
    <row r="9" spans="1:19" ht="39.75" hidden="1" customHeight="1" x14ac:dyDescent="0.25">
      <c r="A9" s="23">
        <v>44866</v>
      </c>
      <c r="B9" s="13">
        <v>1929.3</v>
      </c>
      <c r="C9" s="13">
        <v>387.9</v>
      </c>
      <c r="D9" s="24" t="s">
        <v>55</v>
      </c>
      <c r="E9" s="13" t="s">
        <v>23</v>
      </c>
      <c r="F9" s="9">
        <v>4142.5600000000004</v>
      </c>
      <c r="G9" s="5">
        <f>2519+270+76</f>
        <v>2865</v>
      </c>
      <c r="H9" s="5">
        <f>634+16+15</f>
        <v>665</v>
      </c>
      <c r="I9" s="14">
        <f t="shared" ref="I9" si="0">F9-(G9+H9)</f>
        <v>612.5600000000004</v>
      </c>
      <c r="J9" s="35">
        <v>54</v>
      </c>
      <c r="K9" s="39" t="s">
        <v>66</v>
      </c>
      <c r="L9" s="46">
        <v>54</v>
      </c>
      <c r="M9" s="41">
        <f t="shared" ref="M9:M10" si="1">L9*(1/B9)</f>
        <v>2.7989426216762554E-2</v>
      </c>
      <c r="N9" s="41">
        <f>M9*P2</f>
        <v>0.12315347535375525</v>
      </c>
      <c r="O9" s="68">
        <v>279.286</v>
      </c>
      <c r="P9" s="43">
        <f>O9*P2</f>
        <v>1228.8584000000001</v>
      </c>
      <c r="Q9" s="62">
        <v>225.286</v>
      </c>
      <c r="R9" s="42"/>
      <c r="S9" s="20">
        <f>-Q9*P2</f>
        <v>-991.25840000000005</v>
      </c>
    </row>
    <row r="10" spans="1:19" ht="39.75" hidden="1" customHeight="1" x14ac:dyDescent="0.25">
      <c r="A10" s="23">
        <v>44896</v>
      </c>
      <c r="B10" s="5">
        <v>1929.3</v>
      </c>
      <c r="C10" s="5">
        <v>387.9</v>
      </c>
      <c r="D10" s="24" t="s">
        <v>55</v>
      </c>
      <c r="E10" s="5" t="s">
        <v>23</v>
      </c>
      <c r="F10" s="5">
        <v>3908</v>
      </c>
      <c r="G10" s="5">
        <f>4899+152+55</f>
        <v>5106</v>
      </c>
      <c r="H10" s="5">
        <f>639+16+15</f>
        <v>670</v>
      </c>
      <c r="I10" s="8">
        <f>F10-(G10+H10)</f>
        <v>-1868</v>
      </c>
      <c r="J10" s="35">
        <f>I10</f>
        <v>-1868</v>
      </c>
      <c r="K10" s="39" t="s">
        <v>67</v>
      </c>
      <c r="L10" s="46">
        <v>0</v>
      </c>
      <c r="M10" s="41">
        <f t="shared" si="1"/>
        <v>0</v>
      </c>
      <c r="N10" s="41">
        <f>M10*P2</f>
        <v>0</v>
      </c>
      <c r="O10" s="70">
        <v>279.286</v>
      </c>
      <c r="P10" s="43">
        <f>O10*P2</f>
        <v>1228.8584000000001</v>
      </c>
      <c r="Q10" s="62">
        <f>O10</f>
        <v>279.286</v>
      </c>
      <c r="R10" s="42"/>
      <c r="S10" s="20">
        <f>-Q10*P3</f>
        <v>-1337.7799400000001</v>
      </c>
    </row>
    <row r="11" spans="1:19" ht="31.5" customHeight="1" x14ac:dyDescent="0.25">
      <c r="A11" s="75">
        <v>44927</v>
      </c>
      <c r="B11" s="76">
        <v>1929.3</v>
      </c>
      <c r="C11" s="76">
        <v>387.9</v>
      </c>
      <c r="D11" s="77" t="s">
        <v>55</v>
      </c>
      <c r="E11" s="76" t="s">
        <v>23</v>
      </c>
      <c r="F11" s="78">
        <v>4205.84</v>
      </c>
      <c r="G11" s="78">
        <f>834+93+68</f>
        <v>995</v>
      </c>
      <c r="H11" s="78">
        <f>632+16+15</f>
        <v>663</v>
      </c>
      <c r="I11" s="78">
        <f t="shared" ref="I11:I22" si="2">F11-(G11+H11)</f>
        <v>2547.84</v>
      </c>
      <c r="J11" s="79">
        <f>I11-1868</f>
        <v>679.84000000000015</v>
      </c>
      <c r="K11" s="192" t="s">
        <v>80</v>
      </c>
      <c r="L11" s="80">
        <f>J11</f>
        <v>679.84000000000015</v>
      </c>
      <c r="M11" s="81"/>
      <c r="N11" s="81"/>
      <c r="O11" s="88">
        <v>279.286</v>
      </c>
      <c r="P11" s="83">
        <f>O11*P3</f>
        <v>1337.7799400000001</v>
      </c>
      <c r="Q11" s="84"/>
      <c r="R11" s="84">
        <f>L11-O11</f>
        <v>400.55400000000014</v>
      </c>
      <c r="S11" s="85">
        <f>R11*P3</f>
        <v>1918.6536600000006</v>
      </c>
    </row>
    <row r="12" spans="1:19" ht="31.5" customHeight="1" x14ac:dyDescent="0.25">
      <c r="A12" s="75">
        <v>44958</v>
      </c>
      <c r="B12" s="76">
        <v>1929.3</v>
      </c>
      <c r="C12" s="76">
        <v>387.9</v>
      </c>
      <c r="D12" s="77" t="s">
        <v>55</v>
      </c>
      <c r="E12" s="76" t="s">
        <v>23</v>
      </c>
      <c r="F12" s="78">
        <v>3066.92</v>
      </c>
      <c r="G12" s="78">
        <f>2808+170+72</f>
        <v>3050</v>
      </c>
      <c r="H12" s="78">
        <f>612+16+15</f>
        <v>643</v>
      </c>
      <c r="I12" s="78">
        <f t="shared" si="2"/>
        <v>-626.07999999999993</v>
      </c>
      <c r="J12" s="79">
        <f t="shared" ref="J12:J16" si="3">I12</f>
        <v>-626.07999999999993</v>
      </c>
      <c r="K12" s="192"/>
      <c r="L12" s="80">
        <f t="shared" ref="L12:L22" si="4">IF(J12&lt;0,0,I12)</f>
        <v>0</v>
      </c>
      <c r="M12" s="81"/>
      <c r="N12" s="81"/>
      <c r="O12" s="88">
        <v>279.286</v>
      </c>
      <c r="P12" s="83">
        <f>O12*P3</f>
        <v>1337.7799400000001</v>
      </c>
      <c r="Q12" s="84">
        <f>-O12</f>
        <v>-279.286</v>
      </c>
      <c r="R12" s="84"/>
      <c r="S12" s="85">
        <f>Q12*P3</f>
        <v>-1337.7799400000001</v>
      </c>
    </row>
    <row r="13" spans="1:19" ht="31.5" customHeight="1" x14ac:dyDescent="0.25">
      <c r="A13" s="75">
        <v>44986</v>
      </c>
      <c r="B13" s="76">
        <v>1929.3</v>
      </c>
      <c r="C13" s="76">
        <v>387.9</v>
      </c>
      <c r="D13" s="77" t="s">
        <v>55</v>
      </c>
      <c r="E13" s="76" t="s">
        <v>23</v>
      </c>
      <c r="F13" s="78">
        <v>4656.3999999999996</v>
      </c>
      <c r="G13" s="78">
        <f>2793+166+69</f>
        <v>3028</v>
      </c>
      <c r="H13" s="78">
        <f>513+16+15</f>
        <v>544</v>
      </c>
      <c r="I13" s="78">
        <f t="shared" si="2"/>
        <v>1084.3999999999996</v>
      </c>
      <c r="J13" s="79">
        <f>I13+J12</f>
        <v>458.31999999999971</v>
      </c>
      <c r="K13" s="192" t="s">
        <v>81</v>
      </c>
      <c r="L13" s="80">
        <f>J13</f>
        <v>458.31999999999971</v>
      </c>
      <c r="M13" s="81"/>
      <c r="N13" s="81"/>
      <c r="O13" s="88">
        <v>279.286</v>
      </c>
      <c r="P13" s="83">
        <f>O13*P3</f>
        <v>1337.7799400000001</v>
      </c>
      <c r="Q13" s="84"/>
      <c r="R13" s="84">
        <f>L13-O13</f>
        <v>179.03399999999971</v>
      </c>
      <c r="S13" s="85">
        <f>R13*P3</f>
        <v>857.57285999999863</v>
      </c>
    </row>
    <row r="14" spans="1:19" ht="31.5" customHeight="1" x14ac:dyDescent="0.25">
      <c r="A14" s="75">
        <v>45017</v>
      </c>
      <c r="B14" s="76">
        <v>1929.3</v>
      </c>
      <c r="C14" s="76">
        <v>387.9</v>
      </c>
      <c r="D14" s="77" t="s">
        <v>55</v>
      </c>
      <c r="E14" s="76" t="s">
        <v>23</v>
      </c>
      <c r="F14" s="78">
        <v>3813</v>
      </c>
      <c r="G14" s="78">
        <f>2972+79+14</f>
        <v>3065</v>
      </c>
      <c r="H14" s="78">
        <f>587+16+15</f>
        <v>618</v>
      </c>
      <c r="I14" s="78">
        <f t="shared" si="2"/>
        <v>130</v>
      </c>
      <c r="J14" s="79">
        <f t="shared" si="3"/>
        <v>130</v>
      </c>
      <c r="K14" s="192" t="s">
        <v>82</v>
      </c>
      <c r="L14" s="80">
        <f>J14</f>
        <v>130</v>
      </c>
      <c r="M14" s="81"/>
      <c r="N14" s="81"/>
      <c r="O14" s="88">
        <v>279.286</v>
      </c>
      <c r="P14" s="83">
        <f>O14*P3</f>
        <v>1337.7799400000001</v>
      </c>
      <c r="Q14" s="84">
        <f>-O14+L14</f>
        <v>-149.286</v>
      </c>
      <c r="R14" s="84"/>
      <c r="S14" s="85">
        <f>Q14*P3</f>
        <v>-715.07993999999997</v>
      </c>
    </row>
    <row r="15" spans="1:19" ht="31.5" customHeight="1" x14ac:dyDescent="0.25">
      <c r="A15" s="75">
        <v>45047</v>
      </c>
      <c r="B15" s="76">
        <v>1929.3</v>
      </c>
      <c r="C15" s="76">
        <v>387.9</v>
      </c>
      <c r="D15" s="77" t="s">
        <v>55</v>
      </c>
      <c r="E15" s="76" t="s">
        <v>23</v>
      </c>
      <c r="F15" s="78">
        <v>5561.64</v>
      </c>
      <c r="G15" s="78">
        <f>3269+260+248</f>
        <v>3777</v>
      </c>
      <c r="H15" s="78">
        <f>887+16+15</f>
        <v>918</v>
      </c>
      <c r="I15" s="78">
        <f t="shared" si="2"/>
        <v>866.64000000000033</v>
      </c>
      <c r="J15" s="79">
        <f t="shared" si="3"/>
        <v>866.64000000000033</v>
      </c>
      <c r="K15" s="192" t="s">
        <v>83</v>
      </c>
      <c r="L15" s="80">
        <f>J15</f>
        <v>866.64000000000033</v>
      </c>
      <c r="M15" s="81"/>
      <c r="N15" s="81"/>
      <c r="O15" s="88">
        <v>279.286</v>
      </c>
      <c r="P15" s="83">
        <f>O15*P3</f>
        <v>1337.7799400000001</v>
      </c>
      <c r="Q15" s="84"/>
      <c r="R15" s="84">
        <f>L15-O15</f>
        <v>587.35400000000027</v>
      </c>
      <c r="S15" s="85">
        <f>R15*P3</f>
        <v>2813.4256600000012</v>
      </c>
    </row>
    <row r="16" spans="1:19" ht="31.5" customHeight="1" x14ac:dyDescent="0.25">
      <c r="A16" s="75">
        <v>45078</v>
      </c>
      <c r="B16" s="76">
        <v>1929.3</v>
      </c>
      <c r="C16" s="76">
        <v>387.9</v>
      </c>
      <c r="D16" s="77" t="s">
        <v>55</v>
      </c>
      <c r="E16" s="76" t="s">
        <v>23</v>
      </c>
      <c r="F16" s="78">
        <v>4031.64</v>
      </c>
      <c r="G16" s="78">
        <f>3287+299+173</f>
        <v>3759</v>
      </c>
      <c r="H16" s="78">
        <f>771+16+15</f>
        <v>802</v>
      </c>
      <c r="I16" s="78">
        <f t="shared" si="2"/>
        <v>-529.36000000000013</v>
      </c>
      <c r="J16" s="79">
        <f t="shared" si="3"/>
        <v>-529.36000000000013</v>
      </c>
      <c r="K16" s="192" t="s">
        <v>84</v>
      </c>
      <c r="L16" s="80">
        <f t="shared" si="4"/>
        <v>0</v>
      </c>
      <c r="M16" s="81"/>
      <c r="N16" s="81"/>
      <c r="O16" s="88">
        <v>279.286</v>
      </c>
      <c r="P16" s="83">
        <f>O16*P3</f>
        <v>1337.7799400000001</v>
      </c>
      <c r="Q16" s="84">
        <f t="shared" ref="Q16:Q22" si="5">-O16</f>
        <v>-279.286</v>
      </c>
      <c r="R16" s="84"/>
      <c r="S16" s="85">
        <f>Q16*P3</f>
        <v>-1337.7799400000001</v>
      </c>
    </row>
    <row r="17" spans="1:19" ht="31.5" customHeight="1" x14ac:dyDescent="0.25">
      <c r="A17" s="75">
        <v>45108</v>
      </c>
      <c r="B17" s="76">
        <v>1929.3</v>
      </c>
      <c r="C17" s="76">
        <v>387.9</v>
      </c>
      <c r="D17" s="77" t="s">
        <v>55</v>
      </c>
      <c r="E17" s="76" t="s">
        <v>23</v>
      </c>
      <c r="F17" s="78">
        <v>3160.4</v>
      </c>
      <c r="G17" s="78">
        <f>2744+149+96</f>
        <v>2989</v>
      </c>
      <c r="H17" s="78">
        <f>623+16+15</f>
        <v>654</v>
      </c>
      <c r="I17" s="78">
        <f t="shared" si="2"/>
        <v>-482.59999999999991</v>
      </c>
      <c r="J17" s="79">
        <f>I17+J16</f>
        <v>-1011.96</v>
      </c>
      <c r="K17" s="192" t="s">
        <v>85</v>
      </c>
      <c r="L17" s="80">
        <f t="shared" si="4"/>
        <v>0</v>
      </c>
      <c r="M17" s="81"/>
      <c r="N17" s="81"/>
      <c r="O17" s="88">
        <v>279.286</v>
      </c>
      <c r="P17" s="83">
        <f>O17*P3</f>
        <v>1337.7799400000001</v>
      </c>
      <c r="Q17" s="84">
        <f t="shared" si="5"/>
        <v>-279.286</v>
      </c>
      <c r="R17" s="84"/>
      <c r="S17" s="85">
        <f>Q17*P3</f>
        <v>-1337.7799400000001</v>
      </c>
    </row>
    <row r="18" spans="1:19" ht="31.5" customHeight="1" x14ac:dyDescent="0.25">
      <c r="A18" s="75">
        <v>45139</v>
      </c>
      <c r="B18" s="76">
        <v>1929.3</v>
      </c>
      <c r="C18" s="76">
        <v>387.9</v>
      </c>
      <c r="D18" s="77" t="s">
        <v>55</v>
      </c>
      <c r="E18" s="76" t="s">
        <v>23</v>
      </c>
      <c r="F18" s="78">
        <v>3716.08</v>
      </c>
      <c r="G18" s="78">
        <f>2655+178+95</f>
        <v>2928</v>
      </c>
      <c r="H18" s="78">
        <f>561+16+15</f>
        <v>592</v>
      </c>
      <c r="I18" s="78">
        <f t="shared" si="2"/>
        <v>196.07999999999993</v>
      </c>
      <c r="J18" s="79">
        <f>I18+J17</f>
        <v>-815.88000000000011</v>
      </c>
      <c r="K18" s="192" t="s">
        <v>86</v>
      </c>
      <c r="L18" s="80">
        <f t="shared" si="4"/>
        <v>0</v>
      </c>
      <c r="M18" s="81"/>
      <c r="N18" s="81"/>
      <c r="O18" s="88">
        <v>279.286</v>
      </c>
      <c r="P18" s="83">
        <f>O18*P3</f>
        <v>1337.7799400000001</v>
      </c>
      <c r="Q18" s="84">
        <f t="shared" si="5"/>
        <v>-279.286</v>
      </c>
      <c r="R18" s="84"/>
      <c r="S18" s="85">
        <f>Q18*P3</f>
        <v>-1337.7799400000001</v>
      </c>
    </row>
    <row r="19" spans="1:19" ht="31.5" customHeight="1" x14ac:dyDescent="0.25">
      <c r="A19" s="75">
        <v>45170</v>
      </c>
      <c r="B19" s="76">
        <v>1929.3</v>
      </c>
      <c r="C19" s="76">
        <v>387.9</v>
      </c>
      <c r="D19" s="77" t="s">
        <v>55</v>
      </c>
      <c r="E19" s="76" t="s">
        <v>23</v>
      </c>
      <c r="F19" s="78">
        <v>3878</v>
      </c>
      <c r="G19" s="78">
        <f>3074+144+70</f>
        <v>3288</v>
      </c>
      <c r="H19" s="78">
        <f>650+16+15</f>
        <v>681</v>
      </c>
      <c r="I19" s="78">
        <f t="shared" si="2"/>
        <v>-91</v>
      </c>
      <c r="J19" s="79">
        <f>I19+J18</f>
        <v>-906.88000000000011</v>
      </c>
      <c r="K19" s="192" t="s">
        <v>87</v>
      </c>
      <c r="L19" s="80">
        <f t="shared" si="4"/>
        <v>0</v>
      </c>
      <c r="M19" s="81"/>
      <c r="N19" s="81"/>
      <c r="O19" s="88">
        <v>279.286</v>
      </c>
      <c r="P19" s="83">
        <f>O19*P3</f>
        <v>1337.7799400000001</v>
      </c>
      <c r="Q19" s="84">
        <f t="shared" si="5"/>
        <v>-279.286</v>
      </c>
      <c r="R19" s="84"/>
      <c r="S19" s="85">
        <f>Q19*P3</f>
        <v>-1337.7799400000001</v>
      </c>
    </row>
    <row r="20" spans="1:19" ht="31.5" customHeight="1" x14ac:dyDescent="0.25">
      <c r="A20" s="75">
        <v>45200</v>
      </c>
      <c r="B20" s="76">
        <v>1929.3</v>
      </c>
      <c r="C20" s="76">
        <v>387.9</v>
      </c>
      <c r="D20" s="77" t="s">
        <v>55</v>
      </c>
      <c r="E20" s="76" t="s">
        <v>23</v>
      </c>
      <c r="F20" s="78">
        <v>5301.68</v>
      </c>
      <c r="G20" s="78">
        <f>3096+252+187</f>
        <v>3535</v>
      </c>
      <c r="H20" s="78">
        <f>709+16+15</f>
        <v>740</v>
      </c>
      <c r="I20" s="78">
        <f t="shared" si="2"/>
        <v>1026.6800000000003</v>
      </c>
      <c r="J20" s="79">
        <f>I20+J19</f>
        <v>119.80000000000018</v>
      </c>
      <c r="K20" s="192" t="s">
        <v>88</v>
      </c>
      <c r="L20" s="80">
        <f>J20</f>
        <v>119.80000000000018</v>
      </c>
      <c r="M20" s="81"/>
      <c r="N20" s="81"/>
      <c r="O20" s="88">
        <v>279.286</v>
      </c>
      <c r="P20" s="83">
        <f>O20*P3</f>
        <v>1337.7799400000001</v>
      </c>
      <c r="Q20" s="84">
        <f>-O20+L20</f>
        <v>-159.48599999999982</v>
      </c>
      <c r="R20" s="84"/>
      <c r="S20" s="85">
        <f>Q20*P3</f>
        <v>-763.93793999999912</v>
      </c>
    </row>
    <row r="21" spans="1:19" ht="31.5" customHeight="1" x14ac:dyDescent="0.25">
      <c r="A21" s="75">
        <v>45231</v>
      </c>
      <c r="B21" s="76">
        <v>1929.3</v>
      </c>
      <c r="C21" s="76">
        <v>387.9</v>
      </c>
      <c r="D21" s="77" t="s">
        <v>55</v>
      </c>
      <c r="E21" s="76" t="s">
        <v>23</v>
      </c>
      <c r="F21" s="78">
        <v>4065.68</v>
      </c>
      <c r="G21" s="78">
        <f>2997+218+113</f>
        <v>3328</v>
      </c>
      <c r="H21" s="78">
        <f>654+15+15</f>
        <v>684</v>
      </c>
      <c r="I21" s="78">
        <f t="shared" si="2"/>
        <v>53.679999999999836</v>
      </c>
      <c r="J21" s="79">
        <f>I21-1</f>
        <v>52.679999999999836</v>
      </c>
      <c r="K21" s="192" t="s">
        <v>89</v>
      </c>
      <c r="L21" s="80">
        <f>J21</f>
        <v>52.679999999999836</v>
      </c>
      <c r="M21" s="81"/>
      <c r="N21" s="81"/>
      <c r="O21" s="88">
        <v>279.286</v>
      </c>
      <c r="P21" s="83">
        <f>O21*P3</f>
        <v>1337.7799400000001</v>
      </c>
      <c r="Q21" s="84">
        <f>-O21+L21</f>
        <v>-226.60600000000017</v>
      </c>
      <c r="R21" s="84"/>
      <c r="S21" s="85">
        <f>Q21*P3</f>
        <v>-1085.4427400000009</v>
      </c>
    </row>
    <row r="22" spans="1:19" ht="31.5" customHeight="1" x14ac:dyDescent="0.25">
      <c r="A22" s="75">
        <v>45261</v>
      </c>
      <c r="B22" s="76">
        <v>1929.3</v>
      </c>
      <c r="C22" s="76">
        <v>387.9</v>
      </c>
      <c r="D22" s="77" t="s">
        <v>55</v>
      </c>
      <c r="E22" s="76" t="s">
        <v>23</v>
      </c>
      <c r="F22" s="78">
        <v>3705.76</v>
      </c>
      <c r="G22" s="78">
        <f>2892+225+73</f>
        <v>3190</v>
      </c>
      <c r="H22" s="78">
        <f>565+15+15</f>
        <v>595</v>
      </c>
      <c r="I22" s="78">
        <f t="shared" si="2"/>
        <v>-79.239999999999782</v>
      </c>
      <c r="J22" s="79">
        <f>I22-1</f>
        <v>-80.239999999999782</v>
      </c>
      <c r="K22" s="193" t="s">
        <v>90</v>
      </c>
      <c r="L22" s="80">
        <f t="shared" si="4"/>
        <v>0</v>
      </c>
      <c r="M22" s="81"/>
      <c r="N22" s="81"/>
      <c r="O22" s="88">
        <v>279.286</v>
      </c>
      <c r="P22" s="83">
        <f>O22*P3</f>
        <v>1337.7799400000001</v>
      </c>
      <c r="Q22" s="84">
        <f t="shared" si="5"/>
        <v>-279.286</v>
      </c>
      <c r="R22" s="84"/>
      <c r="S22" s="85">
        <f>Q22*P3</f>
        <v>-1337.7799400000001</v>
      </c>
    </row>
    <row r="23" spans="1:19" s="72" customFormat="1" ht="31.5" customHeight="1" x14ac:dyDescent="0.25">
      <c r="A23" s="96"/>
      <c r="L23" s="72">
        <f>SUM(L11:L22)</f>
        <v>2307.2800000000002</v>
      </c>
      <c r="O23" s="72">
        <f>SUM(O11:O22)</f>
        <v>3351.4320000000002</v>
      </c>
      <c r="P23" s="72">
        <f>SUM(P11:P22)</f>
        <v>16053.359280000002</v>
      </c>
      <c r="R23" s="72">
        <f>SUM(Q11:R22)</f>
        <v>-1044.152</v>
      </c>
      <c r="S23" s="72">
        <f>SUM(S11:S22)</f>
        <v>-5001.4880800000001</v>
      </c>
    </row>
    <row r="24" spans="1:19" s="72" customFormat="1" ht="31.5" customHeight="1" x14ac:dyDescent="0.25">
      <c r="A24" s="96"/>
      <c r="L24" s="72">
        <f>L23*P3</f>
        <v>11051.871200000001</v>
      </c>
    </row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</sheetData>
  <mergeCells count="22"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  <mergeCell ref="S4:S5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"/>
  <sheetViews>
    <sheetView zoomScale="78" zoomScaleNormal="78" workbookViewId="0">
      <selection activeCell="A11" sqref="A11:XFD24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20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0" ht="20.100000000000001" customHeight="1" x14ac:dyDescent="0.25">
      <c r="A2" s="134" t="s">
        <v>31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20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20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20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20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18</v>
      </c>
    </row>
    <row r="7" spans="1:20" ht="39.75" customHeight="1" x14ac:dyDescent="0.25">
      <c r="A7" s="23">
        <v>44805</v>
      </c>
      <c r="B7" s="13">
        <v>3793.8</v>
      </c>
      <c r="C7" s="13">
        <v>1310.3</v>
      </c>
      <c r="D7" s="24" t="s">
        <v>32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1035</v>
      </c>
      <c r="M7" s="37"/>
      <c r="N7" s="37"/>
      <c r="O7" s="63">
        <v>1035.1389999999999</v>
      </c>
      <c r="P7" s="49">
        <f>O7*P2</f>
        <v>4554.6116000000002</v>
      </c>
      <c r="Q7" s="65">
        <v>0</v>
      </c>
      <c r="R7" s="37"/>
      <c r="S7" s="20">
        <v>0</v>
      </c>
    </row>
    <row r="8" spans="1:20" ht="39.75" customHeight="1" x14ac:dyDescent="0.25">
      <c r="A8" s="23">
        <v>44835</v>
      </c>
      <c r="B8" s="13">
        <v>3793.8</v>
      </c>
      <c r="C8" s="13">
        <v>1310.3</v>
      </c>
      <c r="D8" s="24" t="s">
        <v>32</v>
      </c>
      <c r="E8" s="13" t="s">
        <v>23</v>
      </c>
      <c r="F8" s="14">
        <v>7642.16</v>
      </c>
      <c r="G8" s="14">
        <f>7837+337+97</f>
        <v>8271</v>
      </c>
      <c r="H8" s="14">
        <f>14+15</f>
        <v>29</v>
      </c>
      <c r="I8" s="14">
        <f>F8-(G8+H8)</f>
        <v>-657.84000000000015</v>
      </c>
      <c r="J8" s="35">
        <f>I8</f>
        <v>-657.84000000000015</v>
      </c>
      <c r="K8" s="39" t="s">
        <v>64</v>
      </c>
      <c r="L8" s="46">
        <v>0</v>
      </c>
      <c r="M8" s="41"/>
      <c r="N8" s="41"/>
      <c r="O8" s="63">
        <v>1035.1389999999999</v>
      </c>
      <c r="P8" s="49">
        <f>O8*P2</f>
        <v>4554.6116000000002</v>
      </c>
      <c r="Q8" s="67">
        <f>O8</f>
        <v>1035.1389999999999</v>
      </c>
      <c r="R8" s="40"/>
      <c r="S8" s="20">
        <f>-(Q8*P2)</f>
        <v>-4554.6116000000002</v>
      </c>
    </row>
    <row r="9" spans="1:20" ht="39.75" customHeight="1" x14ac:dyDescent="0.25">
      <c r="A9" s="23">
        <v>44866</v>
      </c>
      <c r="B9" s="13">
        <v>3793.8</v>
      </c>
      <c r="C9" s="13">
        <v>1310.3</v>
      </c>
      <c r="D9" s="24" t="s">
        <v>32</v>
      </c>
      <c r="E9" s="13" t="s">
        <v>23</v>
      </c>
      <c r="F9" s="9">
        <v>8004.44</v>
      </c>
      <c r="G9" s="5">
        <f>6217+409+153</f>
        <v>6779</v>
      </c>
      <c r="H9" s="5">
        <f>14+15</f>
        <v>29</v>
      </c>
      <c r="I9" s="14">
        <f t="shared" ref="I9:I10" si="0">F9-(G9+H9)</f>
        <v>1196.4399999999996</v>
      </c>
      <c r="J9" s="35">
        <v>538</v>
      </c>
      <c r="K9" s="39" t="s">
        <v>66</v>
      </c>
      <c r="L9" s="46">
        <v>538</v>
      </c>
      <c r="M9" s="40"/>
      <c r="N9" s="40"/>
      <c r="O9" s="63">
        <v>1035.1389999999999</v>
      </c>
      <c r="P9" s="51">
        <f>O9*P2</f>
        <v>4554.6116000000002</v>
      </c>
      <c r="Q9" s="67">
        <f>O9-J9</f>
        <v>497.1389999999999</v>
      </c>
      <c r="R9" s="40"/>
      <c r="S9" s="20">
        <f>-(Q9*P2)</f>
        <v>-2187.4115999999999</v>
      </c>
    </row>
    <row r="10" spans="1:20" ht="39.75" customHeight="1" x14ac:dyDescent="0.25">
      <c r="A10" s="23">
        <v>44896</v>
      </c>
      <c r="B10" s="5">
        <v>3793.8</v>
      </c>
      <c r="C10" s="5">
        <v>1310.3</v>
      </c>
      <c r="D10" s="24" t="s">
        <v>32</v>
      </c>
      <c r="E10" s="5" t="s">
        <v>23</v>
      </c>
      <c r="F10" s="5">
        <f>8582</f>
        <v>8582</v>
      </c>
      <c r="G10" s="5">
        <f>359+130+6530</f>
        <v>7019</v>
      </c>
      <c r="H10" s="5">
        <f>14+15</f>
        <v>29</v>
      </c>
      <c r="I10" s="8">
        <f t="shared" si="0"/>
        <v>1534</v>
      </c>
      <c r="J10" s="35">
        <f>I10</f>
        <v>1534</v>
      </c>
      <c r="K10" s="39" t="s">
        <v>67</v>
      </c>
      <c r="L10" s="46">
        <v>1534</v>
      </c>
      <c r="M10" s="40"/>
      <c r="N10" s="40"/>
      <c r="O10" s="64"/>
      <c r="P10" s="51">
        <f>O10*P2</f>
        <v>0</v>
      </c>
      <c r="Q10" s="40"/>
      <c r="R10" s="184" t="s">
        <v>59</v>
      </c>
      <c r="S10" s="185"/>
      <c r="T10" s="12"/>
    </row>
  </sheetData>
  <mergeCells count="23">
    <mergeCell ref="A1:S1"/>
    <mergeCell ref="R10:S10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S2:S3"/>
    <mergeCell ref="S4:S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"/>
  <sheetViews>
    <sheetView zoomScale="78" zoomScaleNormal="78" workbookViewId="0">
      <selection activeCell="A11" sqref="A11:XFD24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37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18</v>
      </c>
    </row>
    <row r="7" spans="1:19" ht="39.75" customHeight="1" x14ac:dyDescent="0.25">
      <c r="A7" s="23">
        <v>44805</v>
      </c>
      <c r="B7" s="13">
        <v>1245.8</v>
      </c>
      <c r="C7" s="13">
        <v>106.8</v>
      </c>
      <c r="D7" s="24" t="s">
        <v>38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77</v>
      </c>
      <c r="M7" s="37"/>
      <c r="N7" s="37"/>
      <c r="O7" s="60">
        <v>76.896000000000001</v>
      </c>
      <c r="P7" s="49">
        <f>O7*P2</f>
        <v>338.34240000000005</v>
      </c>
      <c r="Q7" s="50">
        <v>0</v>
      </c>
      <c r="R7" s="37"/>
      <c r="S7" s="20">
        <f>-(Q7*P2)</f>
        <v>0</v>
      </c>
    </row>
    <row r="8" spans="1:19" ht="39.75" customHeight="1" x14ac:dyDescent="0.25">
      <c r="A8" s="23">
        <v>44835</v>
      </c>
      <c r="B8" s="13">
        <v>1245.8</v>
      </c>
      <c r="C8" s="13">
        <v>106.8</v>
      </c>
      <c r="D8" s="24" t="s">
        <v>38</v>
      </c>
      <c r="E8" s="13" t="s">
        <v>23</v>
      </c>
      <c r="F8" s="14">
        <v>3111.72</v>
      </c>
      <c r="G8" s="14">
        <f>2905</f>
        <v>2905</v>
      </c>
      <c r="H8" s="14">
        <f>14+15</f>
        <v>29</v>
      </c>
      <c r="I8" s="14">
        <f>F8-(G8+H8)</f>
        <v>177.7199999999998</v>
      </c>
      <c r="J8" s="35">
        <v>178</v>
      </c>
      <c r="K8" s="39" t="s">
        <v>64</v>
      </c>
      <c r="L8" s="46">
        <v>178</v>
      </c>
      <c r="M8" s="41"/>
      <c r="N8" s="41"/>
      <c r="O8" s="60">
        <v>76.896000000000001</v>
      </c>
      <c r="P8" s="49">
        <f>O8*P2</f>
        <v>338.34240000000005</v>
      </c>
      <c r="Q8" s="41"/>
      <c r="R8" s="62">
        <f>J8-O8</f>
        <v>101.104</v>
      </c>
      <c r="S8" s="20">
        <f>R8*P2</f>
        <v>444.85760000000005</v>
      </c>
    </row>
    <row r="9" spans="1:19" ht="39.75" customHeight="1" x14ac:dyDescent="0.25">
      <c r="A9" s="23">
        <v>44866</v>
      </c>
      <c r="B9" s="13">
        <v>1245.8</v>
      </c>
      <c r="C9" s="13">
        <v>106.8</v>
      </c>
      <c r="D9" s="24" t="s">
        <v>38</v>
      </c>
      <c r="E9" s="13" t="s">
        <v>23</v>
      </c>
      <c r="F9" s="9">
        <v>2331.7600000000002</v>
      </c>
      <c r="G9" s="5">
        <f>2106</f>
        <v>2106</v>
      </c>
      <c r="H9" s="5">
        <f>14+15</f>
        <v>29</v>
      </c>
      <c r="I9" s="14">
        <f t="shared" ref="I9:I10" si="0">F9-(G9+H9)</f>
        <v>196.76000000000022</v>
      </c>
      <c r="J9" s="35">
        <v>197</v>
      </c>
      <c r="K9" s="39" t="s">
        <v>66</v>
      </c>
      <c r="L9" s="46">
        <v>197</v>
      </c>
      <c r="M9" s="40"/>
      <c r="N9" s="40"/>
      <c r="O9" s="49"/>
      <c r="P9" s="51">
        <f>O9*P2</f>
        <v>0</v>
      </c>
      <c r="Q9" s="41"/>
      <c r="R9" s="188" t="s">
        <v>58</v>
      </c>
      <c r="S9" s="189"/>
    </row>
    <row r="10" spans="1:19" ht="39.75" customHeight="1" x14ac:dyDescent="0.25">
      <c r="A10" s="23">
        <v>44896</v>
      </c>
      <c r="B10" s="5">
        <v>1245.8</v>
      </c>
      <c r="C10" s="5">
        <v>106.8</v>
      </c>
      <c r="D10" s="24" t="s">
        <v>38</v>
      </c>
      <c r="E10" s="5" t="s">
        <v>23</v>
      </c>
      <c r="F10" s="5">
        <v>1918</v>
      </c>
      <c r="G10" s="5">
        <f>2205</f>
        <v>2205</v>
      </c>
      <c r="H10" s="5">
        <f>14+15</f>
        <v>29</v>
      </c>
      <c r="I10" s="8">
        <f t="shared" si="0"/>
        <v>-316</v>
      </c>
      <c r="J10" s="35">
        <f>I10</f>
        <v>-316</v>
      </c>
      <c r="K10" s="39" t="s">
        <v>67</v>
      </c>
      <c r="L10" s="46">
        <v>0</v>
      </c>
      <c r="M10" s="40"/>
      <c r="N10" s="40"/>
      <c r="O10" s="51"/>
      <c r="P10" s="51">
        <f>O10*P2</f>
        <v>0</v>
      </c>
      <c r="Q10" s="41"/>
      <c r="R10" s="186"/>
      <c r="S10" s="187"/>
    </row>
  </sheetData>
  <mergeCells count="24">
    <mergeCell ref="R10:S10"/>
    <mergeCell ref="R9:S9"/>
    <mergeCell ref="H4:H5"/>
    <mergeCell ref="Q4:R4"/>
    <mergeCell ref="I4:I5"/>
    <mergeCell ref="K4:L4"/>
    <mergeCell ref="S4:S5"/>
    <mergeCell ref="M4:M5"/>
    <mergeCell ref="J4:J5"/>
    <mergeCell ref="J2:N2"/>
    <mergeCell ref="J3:N3"/>
    <mergeCell ref="A1:S1"/>
    <mergeCell ref="N4:N5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S2:S3"/>
  </mergeCells>
  <pageMargins left="0.25" right="0.25" top="0.75" bottom="0.75" header="0.3" footer="0.3"/>
  <pageSetup paperSize="9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"/>
  <sheetViews>
    <sheetView zoomScale="78" zoomScaleNormal="78" workbookViewId="0">
      <selection activeCell="A11" sqref="A11:XFD24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39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18</v>
      </c>
    </row>
    <row r="7" spans="1:19" ht="39.75" customHeight="1" x14ac:dyDescent="0.25">
      <c r="A7" s="23">
        <v>44805</v>
      </c>
      <c r="B7" s="13">
        <v>1878.5</v>
      </c>
      <c r="C7" s="13">
        <v>881.9</v>
      </c>
      <c r="D7" s="24" t="s">
        <v>40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635</v>
      </c>
      <c r="M7" s="37"/>
      <c r="N7" s="37"/>
      <c r="O7" s="68">
        <v>634.96400000000006</v>
      </c>
      <c r="P7" s="38">
        <f>O7*P2</f>
        <v>2793.8416000000007</v>
      </c>
      <c r="Q7" s="45"/>
      <c r="R7" s="45"/>
      <c r="S7" s="30">
        <v>0</v>
      </c>
    </row>
    <row r="8" spans="1:19" ht="39.75" customHeight="1" x14ac:dyDescent="0.25">
      <c r="A8" s="23">
        <v>44835</v>
      </c>
      <c r="B8" s="13">
        <v>1878.5</v>
      </c>
      <c r="C8" s="13">
        <v>881.9</v>
      </c>
      <c r="D8" s="24" t="s">
        <v>40</v>
      </c>
      <c r="E8" s="13" t="s">
        <v>23</v>
      </c>
      <c r="F8" s="14">
        <v>5288.92</v>
      </c>
      <c r="G8" s="14">
        <f>3572+300+123</f>
        <v>3995</v>
      </c>
      <c r="H8" s="14">
        <f>14+15</f>
        <v>29</v>
      </c>
      <c r="I8" s="14">
        <f>F8-(G8+H8)</f>
        <v>1264.92</v>
      </c>
      <c r="J8" s="35">
        <v>1265</v>
      </c>
      <c r="K8" s="39" t="s">
        <v>64</v>
      </c>
      <c r="L8" s="46">
        <v>1265</v>
      </c>
      <c r="M8" s="41">
        <f>R8/C8</f>
        <v>0.71440752919832173</v>
      </c>
      <c r="N8" s="41">
        <f>M8*P2</f>
        <v>3.1433931284726158</v>
      </c>
      <c r="O8" s="68">
        <v>634.96400000000006</v>
      </c>
      <c r="P8" s="38">
        <f>O8*P2</f>
        <v>2793.8416000000007</v>
      </c>
      <c r="Q8" s="47"/>
      <c r="R8" s="69">
        <f>J8-O8</f>
        <v>630.03599999999994</v>
      </c>
      <c r="S8" s="30">
        <f>R8*P2</f>
        <v>2772.1583999999998</v>
      </c>
    </row>
    <row r="9" spans="1:19" ht="39.75" customHeight="1" x14ac:dyDescent="0.25">
      <c r="A9" s="23">
        <v>44866</v>
      </c>
      <c r="B9" s="13">
        <v>1878.5</v>
      </c>
      <c r="C9" s="13">
        <v>881.9</v>
      </c>
      <c r="D9" s="24" t="s">
        <v>40</v>
      </c>
      <c r="E9" s="13" t="s">
        <v>23</v>
      </c>
      <c r="F9" s="9">
        <v>3566.28</v>
      </c>
      <c r="G9" s="5">
        <f>3329+295+122</f>
        <v>3746</v>
      </c>
      <c r="H9" s="5">
        <f>14+15</f>
        <v>29</v>
      </c>
      <c r="I9" s="14">
        <f t="shared" ref="I9:I10" si="0">F9-(G9+H9)</f>
        <v>-208.7199999999998</v>
      </c>
      <c r="J9" s="35">
        <f>I9</f>
        <v>-208.7199999999998</v>
      </c>
      <c r="K9" s="39" t="s">
        <v>66</v>
      </c>
      <c r="L9" s="46">
        <v>0</v>
      </c>
      <c r="M9" s="40"/>
      <c r="N9" s="40"/>
      <c r="O9" s="38"/>
      <c r="P9" s="43">
        <f>O9*P2</f>
        <v>0</v>
      </c>
      <c r="Q9" s="48"/>
      <c r="R9" s="184" t="s">
        <v>60</v>
      </c>
      <c r="S9" s="185"/>
    </row>
    <row r="10" spans="1:19" ht="39.75" customHeight="1" x14ac:dyDescent="0.25">
      <c r="A10" s="23">
        <v>44896</v>
      </c>
      <c r="B10" s="5">
        <v>1878.5</v>
      </c>
      <c r="C10" s="5">
        <v>881.9</v>
      </c>
      <c r="D10" s="24" t="s">
        <v>40</v>
      </c>
      <c r="E10" s="5" t="s">
        <v>23</v>
      </c>
      <c r="F10" s="5">
        <v>3106</v>
      </c>
      <c r="G10" s="5">
        <f>3373+308+146</f>
        <v>3827</v>
      </c>
      <c r="H10" s="5">
        <f>14+15</f>
        <v>29</v>
      </c>
      <c r="I10" s="8">
        <f t="shared" si="0"/>
        <v>-750</v>
      </c>
      <c r="J10" s="35">
        <f>I10+J9</f>
        <v>-958.7199999999998</v>
      </c>
      <c r="K10" s="39" t="s">
        <v>67</v>
      </c>
      <c r="L10" s="46">
        <v>0</v>
      </c>
      <c r="M10" s="40"/>
      <c r="N10" s="40"/>
      <c r="O10" s="43"/>
      <c r="P10" s="43">
        <f>O10*P2</f>
        <v>0</v>
      </c>
      <c r="Q10" s="47"/>
      <c r="R10" s="190"/>
      <c r="S10" s="191"/>
    </row>
  </sheetData>
  <mergeCells count="24">
    <mergeCell ref="A1:S1"/>
    <mergeCell ref="R10:S10"/>
    <mergeCell ref="R9:S9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S2:S3"/>
    <mergeCell ref="S4:S5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"/>
  <sheetViews>
    <sheetView zoomScale="78" zoomScaleNormal="78" workbookViewId="0">
      <selection activeCell="A11" sqref="A11:XFD24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41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18</v>
      </c>
    </row>
    <row r="7" spans="1:19" ht="39.75" customHeight="1" x14ac:dyDescent="0.25">
      <c r="A7" s="23">
        <v>44805</v>
      </c>
      <c r="B7" s="13">
        <v>3111.3</v>
      </c>
      <c r="C7" s="13">
        <v>793.4</v>
      </c>
      <c r="D7" s="24" t="s">
        <v>34</v>
      </c>
      <c r="E7" s="13" t="s">
        <v>23</v>
      </c>
      <c r="F7" s="14"/>
      <c r="G7" s="14"/>
      <c r="H7" s="14"/>
      <c r="I7" s="14"/>
      <c r="J7" s="35"/>
      <c r="K7" s="36" t="s">
        <v>65</v>
      </c>
      <c r="L7" s="44">
        <v>579</v>
      </c>
      <c r="M7" s="37"/>
      <c r="N7" s="37"/>
      <c r="O7" s="68">
        <v>579.18299999999999</v>
      </c>
      <c r="P7" s="38">
        <f>O7*P2</f>
        <v>2548.4052000000001</v>
      </c>
      <c r="Q7" s="37"/>
      <c r="R7" s="37"/>
      <c r="S7" s="20">
        <v>0</v>
      </c>
    </row>
    <row r="8" spans="1:19" ht="39.75" customHeight="1" x14ac:dyDescent="0.25">
      <c r="A8" s="23">
        <v>44835</v>
      </c>
      <c r="B8" s="13">
        <v>3111.3</v>
      </c>
      <c r="C8" s="13">
        <v>793.4</v>
      </c>
      <c r="D8" s="24" t="s">
        <v>34</v>
      </c>
      <c r="E8" s="13" t="s">
        <v>23</v>
      </c>
      <c r="F8" s="14">
        <v>11025.56</v>
      </c>
      <c r="G8" s="14">
        <f>7827+561+409</f>
        <v>8797</v>
      </c>
      <c r="H8" s="14">
        <f>388+15+14+15</f>
        <v>432</v>
      </c>
      <c r="I8" s="14">
        <f>F8-(G8+H8)</f>
        <v>1796.5599999999995</v>
      </c>
      <c r="J8" s="35">
        <v>1797</v>
      </c>
      <c r="K8" s="39" t="s">
        <v>64</v>
      </c>
      <c r="L8" s="46">
        <v>1797</v>
      </c>
      <c r="M8" s="41">
        <f>L8*(1/B8)</f>
        <v>0.57757207598110116</v>
      </c>
      <c r="N8" s="41">
        <f>M8*P2</f>
        <v>2.5413171343168455</v>
      </c>
      <c r="O8" s="68">
        <v>579.18299999999999</v>
      </c>
      <c r="P8" s="38">
        <f>O8*P2</f>
        <v>2548.4052000000001</v>
      </c>
      <c r="Q8" s="40"/>
      <c r="R8" s="62">
        <f>J8-O8</f>
        <v>1217.817</v>
      </c>
      <c r="S8" s="20">
        <f>R8*P2</f>
        <v>5358.3948</v>
      </c>
    </row>
    <row r="9" spans="1:19" ht="39.75" customHeight="1" x14ac:dyDescent="0.25">
      <c r="A9" s="23">
        <v>44866</v>
      </c>
      <c r="B9" s="13">
        <v>3111.3</v>
      </c>
      <c r="C9" s="13">
        <v>793.4</v>
      </c>
      <c r="D9" s="24" t="s">
        <v>34</v>
      </c>
      <c r="E9" s="13" t="s">
        <v>23</v>
      </c>
      <c r="F9" s="9">
        <v>10614.24</v>
      </c>
      <c r="G9" s="9">
        <f>6951+455+111</f>
        <v>7517</v>
      </c>
      <c r="H9" s="9">
        <f>15+14+15+432</f>
        <v>476</v>
      </c>
      <c r="I9" s="10">
        <f t="shared" ref="I9:I10" si="0">F9-(G9+H9)</f>
        <v>2621.2399999999998</v>
      </c>
      <c r="J9" s="35">
        <v>2621</v>
      </c>
      <c r="K9" s="39" t="s">
        <v>66</v>
      </c>
      <c r="L9" s="46">
        <v>2621</v>
      </c>
      <c r="M9" s="40"/>
      <c r="N9" s="40"/>
      <c r="O9" s="38"/>
      <c r="P9" s="43">
        <f>O9*P2</f>
        <v>0</v>
      </c>
      <c r="Q9" s="40"/>
      <c r="R9" s="184" t="s">
        <v>58</v>
      </c>
      <c r="S9" s="185"/>
    </row>
    <row r="10" spans="1:19" ht="39.75" customHeight="1" x14ac:dyDescent="0.25">
      <c r="A10" s="23">
        <v>44896</v>
      </c>
      <c r="B10" s="5">
        <v>3111.3</v>
      </c>
      <c r="C10" s="5">
        <v>793.4</v>
      </c>
      <c r="D10" s="24" t="s">
        <v>34</v>
      </c>
      <c r="E10" s="5" t="s">
        <v>23</v>
      </c>
      <c r="F10" s="9">
        <v>9427</v>
      </c>
      <c r="G10" s="9">
        <f>7258+446+275</f>
        <v>7979</v>
      </c>
      <c r="H10" s="9">
        <f>405+15+14+15</f>
        <v>449</v>
      </c>
      <c r="I10" s="9">
        <f t="shared" si="0"/>
        <v>999</v>
      </c>
      <c r="J10" s="35">
        <v>999</v>
      </c>
      <c r="K10" s="39" t="s">
        <v>67</v>
      </c>
      <c r="L10" s="46">
        <v>999</v>
      </c>
      <c r="M10" s="40"/>
      <c r="N10" s="40"/>
      <c r="O10" s="43"/>
      <c r="P10" s="43">
        <f>O10*P2</f>
        <v>0</v>
      </c>
      <c r="Q10" s="40"/>
      <c r="R10" s="190"/>
      <c r="S10" s="191"/>
    </row>
  </sheetData>
  <mergeCells count="24">
    <mergeCell ref="A1:S1"/>
    <mergeCell ref="R9:S9"/>
    <mergeCell ref="R10:S10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S2:S3"/>
    <mergeCell ref="S4:S5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9"/>
  <sheetViews>
    <sheetView topLeftCell="A5" zoomScale="70" zoomScaleNormal="70" workbookViewId="0">
      <selection activeCell="P30" sqref="P30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0.100000000000001" customHeight="1" x14ac:dyDescent="0.25">
      <c r="A2" s="134" t="s">
        <v>42</v>
      </c>
      <c r="B2" s="134"/>
      <c r="C2" s="134"/>
      <c r="D2" s="134"/>
      <c r="J2" s="172" t="s">
        <v>61</v>
      </c>
      <c r="K2" s="172"/>
      <c r="L2" s="172"/>
      <c r="M2" s="172"/>
      <c r="N2" s="172"/>
      <c r="O2" s="15" t="s">
        <v>25</v>
      </c>
      <c r="P2" s="16">
        <v>4.4000000000000004</v>
      </c>
      <c r="Q2" s="74" t="s">
        <v>73</v>
      </c>
      <c r="R2" s="74">
        <v>4.79</v>
      </c>
      <c r="S2" s="175" t="s">
        <v>75</v>
      </c>
    </row>
    <row r="3" spans="1:19" ht="20.100000000000001" customHeight="1" x14ac:dyDescent="0.25">
      <c r="J3" s="172" t="s">
        <v>61</v>
      </c>
      <c r="K3" s="172"/>
      <c r="L3" s="172"/>
      <c r="M3" s="172"/>
      <c r="N3" s="172"/>
      <c r="O3" s="15" t="s">
        <v>62</v>
      </c>
      <c r="P3" s="16">
        <v>4.79</v>
      </c>
      <c r="Q3" s="74" t="s">
        <v>74</v>
      </c>
      <c r="R3" s="74">
        <v>5.21</v>
      </c>
      <c r="S3" s="175"/>
    </row>
    <row r="4" spans="1:19" ht="68.25" customHeight="1" x14ac:dyDescent="0.25">
      <c r="A4" s="137" t="s">
        <v>4</v>
      </c>
      <c r="B4" s="137" t="s">
        <v>3</v>
      </c>
      <c r="C4" s="138" t="s">
        <v>13</v>
      </c>
      <c r="D4" s="174" t="s">
        <v>22</v>
      </c>
      <c r="E4" s="137" t="s">
        <v>0</v>
      </c>
      <c r="F4" s="137" t="s">
        <v>9</v>
      </c>
      <c r="G4" s="137" t="s">
        <v>10</v>
      </c>
      <c r="H4" s="137" t="s">
        <v>11</v>
      </c>
      <c r="I4" s="137" t="s">
        <v>12</v>
      </c>
      <c r="J4" s="141" t="s">
        <v>68</v>
      </c>
      <c r="K4" s="140" t="s">
        <v>5</v>
      </c>
      <c r="L4" s="140"/>
      <c r="M4" s="140" t="s">
        <v>14</v>
      </c>
      <c r="N4" s="140" t="s">
        <v>16</v>
      </c>
      <c r="O4" s="141" t="s">
        <v>15</v>
      </c>
      <c r="P4" s="140" t="s">
        <v>7</v>
      </c>
      <c r="Q4" s="140" t="s">
        <v>6</v>
      </c>
      <c r="R4" s="140"/>
      <c r="S4" s="138" t="s">
        <v>63</v>
      </c>
    </row>
    <row r="5" spans="1:19" ht="78" customHeight="1" x14ac:dyDescent="0.25">
      <c r="A5" s="137"/>
      <c r="B5" s="137"/>
      <c r="C5" s="139"/>
      <c r="D5" s="174"/>
      <c r="E5" s="137"/>
      <c r="F5" s="137"/>
      <c r="G5" s="137"/>
      <c r="H5" s="137"/>
      <c r="I5" s="137"/>
      <c r="J5" s="142"/>
      <c r="K5" s="32" t="s">
        <v>1</v>
      </c>
      <c r="L5" s="32" t="s">
        <v>2</v>
      </c>
      <c r="M5" s="140"/>
      <c r="N5" s="140"/>
      <c r="O5" s="142"/>
      <c r="P5" s="140"/>
      <c r="Q5" s="33" t="s">
        <v>69</v>
      </c>
      <c r="R5" s="55" t="s">
        <v>71</v>
      </c>
      <c r="S5" s="139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11">
        <v>18</v>
      </c>
    </row>
    <row r="7" spans="1:19" ht="39.75" customHeight="1" x14ac:dyDescent="0.25">
      <c r="A7" s="23">
        <v>44805</v>
      </c>
      <c r="B7" s="13">
        <v>1552.9</v>
      </c>
      <c r="C7" s="13">
        <v>825.6</v>
      </c>
      <c r="D7" s="24" t="s">
        <v>43</v>
      </c>
      <c r="E7" s="13" t="s">
        <v>23</v>
      </c>
      <c r="F7" s="14"/>
      <c r="G7" s="14"/>
      <c r="H7" s="14"/>
      <c r="I7" s="14"/>
      <c r="J7" s="35"/>
      <c r="K7" s="36" t="s">
        <v>65</v>
      </c>
      <c r="L7" s="58">
        <v>603</v>
      </c>
      <c r="M7" s="37"/>
      <c r="N7" s="37"/>
      <c r="O7" s="68">
        <v>602.68499999999995</v>
      </c>
      <c r="P7" s="38">
        <f>O7*P2</f>
        <v>2651.8139999999999</v>
      </c>
      <c r="Q7" s="37"/>
      <c r="R7" s="37"/>
      <c r="S7" s="20">
        <v>0</v>
      </c>
    </row>
    <row r="8" spans="1:19" ht="39.75" customHeight="1" x14ac:dyDescent="0.25">
      <c r="A8" s="23">
        <v>44835</v>
      </c>
      <c r="B8" s="13">
        <v>1552.9</v>
      </c>
      <c r="C8" s="13">
        <v>825.6</v>
      </c>
      <c r="D8" s="24" t="s">
        <v>43</v>
      </c>
      <c r="E8" s="13" t="s">
        <v>23</v>
      </c>
      <c r="F8" s="14">
        <v>2908.86</v>
      </c>
      <c r="G8" s="14">
        <f>2274+152+93</f>
        <v>2519</v>
      </c>
      <c r="H8" s="14">
        <f>16+17+15</f>
        <v>48</v>
      </c>
      <c r="I8" s="14">
        <f>F8-(G8+H8)</f>
        <v>341.86000000000013</v>
      </c>
      <c r="J8" s="35">
        <v>342</v>
      </c>
      <c r="K8" s="39" t="s">
        <v>64</v>
      </c>
      <c r="L8" s="59">
        <v>342</v>
      </c>
      <c r="M8" s="41"/>
      <c r="N8" s="41"/>
      <c r="O8" s="68">
        <v>602.68499999999995</v>
      </c>
      <c r="P8" s="38">
        <f>O8*P2</f>
        <v>2651.8139999999999</v>
      </c>
      <c r="Q8" s="62">
        <f>O8-L8</f>
        <v>260.68499999999995</v>
      </c>
      <c r="R8" s="62"/>
      <c r="S8" s="20">
        <f>-(Q8*P2)</f>
        <v>-1147.0139999999999</v>
      </c>
    </row>
    <row r="9" spans="1:19" ht="39.75" customHeight="1" x14ac:dyDescent="0.25">
      <c r="A9" s="23">
        <v>44866</v>
      </c>
      <c r="B9" s="13">
        <v>1552.9</v>
      </c>
      <c r="C9" s="13">
        <v>825.6</v>
      </c>
      <c r="D9" s="24" t="s">
        <v>43</v>
      </c>
      <c r="E9" s="13" t="s">
        <v>23</v>
      </c>
      <c r="F9" s="9">
        <v>3708.6</v>
      </c>
      <c r="G9" s="5">
        <f>1834+213+134</f>
        <v>2181</v>
      </c>
      <c r="H9" s="5">
        <f>16+17+15</f>
        <v>48</v>
      </c>
      <c r="I9" s="14">
        <f t="shared" ref="I9:I10" si="0">F9-(G9+H9)</f>
        <v>1479.6</v>
      </c>
      <c r="J9" s="35">
        <v>1480</v>
      </c>
      <c r="K9" s="39" t="s">
        <v>66</v>
      </c>
      <c r="L9" s="59">
        <v>1480</v>
      </c>
      <c r="M9" s="41">
        <f t="shared" ref="M9" si="1">L9*(1/B9)</f>
        <v>0.9530555734432351</v>
      </c>
      <c r="N9" s="41">
        <f>M9*P2</f>
        <v>4.1934445231502346</v>
      </c>
      <c r="O9" s="68">
        <v>602.68499999999995</v>
      </c>
      <c r="P9" s="43">
        <f>O9*P2</f>
        <v>2651.8139999999999</v>
      </c>
      <c r="Q9" s="62"/>
      <c r="R9" s="62">
        <f>J9-O9</f>
        <v>877.31500000000005</v>
      </c>
      <c r="S9" s="20">
        <f>R9*P2</f>
        <v>3860.1860000000006</v>
      </c>
    </row>
    <row r="10" spans="1:19" ht="39.75" customHeight="1" x14ac:dyDescent="0.25">
      <c r="A10" s="23">
        <v>44896</v>
      </c>
      <c r="B10" s="5">
        <v>1552.9</v>
      </c>
      <c r="C10" s="5">
        <v>825.6</v>
      </c>
      <c r="D10" s="24" t="s">
        <v>43</v>
      </c>
      <c r="E10" s="5" t="s">
        <v>23</v>
      </c>
      <c r="F10" s="5">
        <f>3358</f>
        <v>3358</v>
      </c>
      <c r="G10" s="5">
        <f>2829+137+85</f>
        <v>3051</v>
      </c>
      <c r="H10" s="5">
        <f>16+17+15</f>
        <v>48</v>
      </c>
      <c r="I10" s="8">
        <f t="shared" si="0"/>
        <v>259</v>
      </c>
      <c r="J10" s="35">
        <v>259</v>
      </c>
      <c r="K10" s="39" t="s">
        <v>67</v>
      </c>
      <c r="L10" s="59">
        <f>J10</f>
        <v>259</v>
      </c>
      <c r="M10" s="41"/>
      <c r="N10" s="41"/>
      <c r="O10" s="70">
        <v>602.68499999999995</v>
      </c>
      <c r="P10" s="43">
        <f>O10*P3</f>
        <v>2886.8611499999997</v>
      </c>
      <c r="Q10" s="62">
        <f>O10-I10</f>
        <v>343.68499999999995</v>
      </c>
      <c r="R10" s="62"/>
      <c r="S10" s="20">
        <f>-(Q10*P3)</f>
        <v>-1646.2511499999998</v>
      </c>
    </row>
    <row r="11" spans="1:19" ht="20.100000000000001" hidden="1" customHeight="1" x14ac:dyDescent="0.25">
      <c r="A11" s="1"/>
      <c r="B11" s="1"/>
      <c r="C11" s="1"/>
      <c r="D11" s="28"/>
      <c r="E11" s="25"/>
      <c r="F11" s="25"/>
      <c r="G11" s="25"/>
      <c r="H11" s="25"/>
      <c r="I11" s="25"/>
      <c r="J11" s="25"/>
      <c r="K11" s="56"/>
      <c r="L11" s="25"/>
      <c r="M11" s="25"/>
      <c r="N11" s="25"/>
      <c r="O11" s="25"/>
      <c r="P11" s="25"/>
      <c r="Q11" s="29">
        <f>Q10+Q8</f>
        <v>604.36999999999989</v>
      </c>
      <c r="R11" s="26">
        <f>R9</f>
        <v>877.31500000000005</v>
      </c>
      <c r="S11" s="31">
        <f>SUM(S7:S10)</f>
        <v>1066.9208500000007</v>
      </c>
    </row>
    <row r="12" spans="1:19" ht="20.100000000000001" hidden="1" customHeight="1" x14ac:dyDescent="0.25">
      <c r="A12" s="1"/>
      <c r="B12" s="1"/>
      <c r="C12" s="1"/>
      <c r="D12" s="28"/>
      <c r="E12" s="25"/>
      <c r="F12" s="25"/>
      <c r="G12" s="25"/>
      <c r="H12" s="25"/>
      <c r="I12" s="25"/>
      <c r="J12" s="25"/>
      <c r="K12" s="56"/>
      <c r="L12" s="25"/>
      <c r="M12" s="25"/>
      <c r="N12" s="25"/>
      <c r="O12" s="25"/>
      <c r="P12" s="25"/>
      <c r="Q12" s="25"/>
      <c r="R12" s="27"/>
      <c r="S12" s="22"/>
    </row>
    <row r="13" spans="1:19" ht="20.100000000000001" hidden="1" customHeight="1" x14ac:dyDescent="0.25">
      <c r="A13" s="1"/>
      <c r="B13" s="1"/>
      <c r="C13" s="1"/>
      <c r="D13" s="28"/>
      <c r="E13" s="25"/>
      <c r="F13" s="25"/>
      <c r="G13" s="25"/>
      <c r="H13" s="25"/>
      <c r="I13" s="25"/>
      <c r="J13" s="25"/>
      <c r="K13" s="56"/>
      <c r="L13" s="25"/>
      <c r="M13" s="25"/>
      <c r="N13" s="25"/>
      <c r="O13" s="25"/>
      <c r="P13" s="25"/>
      <c r="Q13" s="25"/>
      <c r="R13" s="25"/>
      <c r="S13" s="21"/>
    </row>
    <row r="14" spans="1:19" ht="39.75" customHeight="1" x14ac:dyDescent="0.25">
      <c r="A14" s="23">
        <v>44927</v>
      </c>
      <c r="B14" s="5">
        <v>1552.9</v>
      </c>
      <c r="C14" s="5">
        <v>825.6</v>
      </c>
      <c r="D14" s="24" t="s">
        <v>43</v>
      </c>
      <c r="E14" s="5" t="s">
        <v>23</v>
      </c>
      <c r="F14" s="5">
        <v>3829</v>
      </c>
      <c r="G14" s="5">
        <v>3126</v>
      </c>
      <c r="H14" s="5">
        <v>48</v>
      </c>
      <c r="I14" s="8">
        <f t="shared" ref="I14" si="2">F14-(G14+H14)</f>
        <v>655</v>
      </c>
      <c r="J14" s="35">
        <v>655</v>
      </c>
      <c r="K14" s="39"/>
      <c r="L14" s="59">
        <f>J14</f>
        <v>655</v>
      </c>
      <c r="M14" s="41"/>
      <c r="N14" s="41"/>
      <c r="O14" s="70">
        <v>602.68499999999995</v>
      </c>
      <c r="P14" s="43">
        <f>O14*P3</f>
        <v>2886.8611499999997</v>
      </c>
      <c r="Q14" s="62"/>
      <c r="R14" s="62">
        <f>J14-O14</f>
        <v>52.315000000000055</v>
      </c>
      <c r="S14" s="73">
        <f>-(R14*P3)</f>
        <v>-250.58885000000026</v>
      </c>
    </row>
    <row r="15" spans="1:19" ht="39.75" customHeight="1" x14ac:dyDescent="0.25">
      <c r="A15" s="23">
        <v>44958</v>
      </c>
      <c r="B15" s="5">
        <v>1552.9</v>
      </c>
      <c r="C15" s="5">
        <v>825.6</v>
      </c>
      <c r="D15" s="24" t="s">
        <v>43</v>
      </c>
      <c r="E15" s="5" t="s">
        <v>23</v>
      </c>
      <c r="F15" s="5">
        <v>2356</v>
      </c>
      <c r="G15" s="5">
        <v>2552</v>
      </c>
      <c r="H15" s="5">
        <v>48</v>
      </c>
      <c r="I15" s="8">
        <f t="shared" ref="I15:I19" si="3">F15-(G15+H15)</f>
        <v>-244</v>
      </c>
      <c r="J15" s="35"/>
      <c r="K15" s="39"/>
      <c r="L15" s="59"/>
      <c r="M15" s="41"/>
      <c r="N15" s="41"/>
      <c r="O15" s="70">
        <v>602.68499999999995</v>
      </c>
      <c r="P15" s="43">
        <f>O15*P3</f>
        <v>2886.8611499999997</v>
      </c>
      <c r="Q15" s="62">
        <f>O15-J15</f>
        <v>602.68499999999995</v>
      </c>
      <c r="R15" s="62"/>
      <c r="S15" s="73">
        <f>-(Q15*P3)</f>
        <v>-2886.8611499999997</v>
      </c>
    </row>
    <row r="16" spans="1:19" ht="39.75" customHeight="1" x14ac:dyDescent="0.25">
      <c r="A16" s="23">
        <v>44986</v>
      </c>
      <c r="B16" s="5">
        <v>1552.9</v>
      </c>
      <c r="C16" s="5">
        <v>825.6</v>
      </c>
      <c r="D16" s="24" t="s">
        <v>43</v>
      </c>
      <c r="E16" s="5" t="s">
        <v>23</v>
      </c>
      <c r="F16" s="5">
        <v>2897</v>
      </c>
      <c r="G16" s="5">
        <v>2178</v>
      </c>
      <c r="H16" s="5">
        <v>48</v>
      </c>
      <c r="I16" s="8">
        <f t="shared" si="3"/>
        <v>671</v>
      </c>
      <c r="J16" s="35">
        <f>I16+I15</f>
        <v>427</v>
      </c>
      <c r="K16" s="39"/>
      <c r="L16" s="59">
        <f>J16</f>
        <v>427</v>
      </c>
      <c r="M16" s="41"/>
      <c r="N16" s="41"/>
      <c r="O16" s="70">
        <v>602.68499999999995</v>
      </c>
      <c r="P16" s="43">
        <f>O16*P3</f>
        <v>2886.8611499999997</v>
      </c>
      <c r="Q16" s="62">
        <f>O16-J16</f>
        <v>175.68499999999995</v>
      </c>
      <c r="R16" s="62"/>
      <c r="S16" s="73">
        <f>-(Q16*P3)</f>
        <v>-841.5311499999998</v>
      </c>
    </row>
    <row r="17" spans="1:19" ht="39.75" customHeight="1" x14ac:dyDescent="0.25">
      <c r="A17" s="23">
        <v>45017</v>
      </c>
      <c r="B17" s="5">
        <v>1552.9</v>
      </c>
      <c r="C17" s="5">
        <v>825.6</v>
      </c>
      <c r="D17" s="24" t="s">
        <v>43</v>
      </c>
      <c r="E17" s="5" t="s">
        <v>23</v>
      </c>
      <c r="F17" s="5">
        <v>2486</v>
      </c>
      <c r="G17" s="5">
        <v>1670</v>
      </c>
      <c r="H17" s="5">
        <v>48</v>
      </c>
      <c r="I17" s="8">
        <f t="shared" si="3"/>
        <v>768</v>
      </c>
      <c r="J17" s="35">
        <f>I17</f>
        <v>768</v>
      </c>
      <c r="K17" s="39"/>
      <c r="L17" s="59">
        <f>J17</f>
        <v>768</v>
      </c>
      <c r="M17" s="41"/>
      <c r="N17" s="41"/>
      <c r="O17" s="70">
        <v>602.68499999999995</v>
      </c>
      <c r="P17" s="43">
        <f>O17*P3</f>
        <v>2886.8611499999997</v>
      </c>
      <c r="Q17" s="62"/>
      <c r="R17" s="62">
        <f>J17-O17</f>
        <v>165.31500000000005</v>
      </c>
      <c r="S17" s="73">
        <f>-(Q17*P3)</f>
        <v>0</v>
      </c>
    </row>
    <row r="18" spans="1:19" ht="39.75" customHeight="1" x14ac:dyDescent="0.25">
      <c r="A18" s="23">
        <v>45047</v>
      </c>
      <c r="B18" s="5">
        <v>1552.9</v>
      </c>
      <c r="C18" s="5">
        <v>825.6</v>
      </c>
      <c r="D18" s="24" t="s">
        <v>43</v>
      </c>
      <c r="E18" s="5" t="s">
        <v>23</v>
      </c>
      <c r="F18" s="5">
        <v>3336</v>
      </c>
      <c r="G18" s="5">
        <v>2550</v>
      </c>
      <c r="H18" s="5">
        <v>48</v>
      </c>
      <c r="I18" s="8">
        <f t="shared" si="3"/>
        <v>738</v>
      </c>
      <c r="J18" s="35">
        <f>I18</f>
        <v>738</v>
      </c>
      <c r="K18" s="39"/>
      <c r="L18" s="59"/>
      <c r="M18" s="41"/>
      <c r="N18" s="41"/>
      <c r="O18" s="70">
        <v>602.68499999999995</v>
      </c>
      <c r="P18" s="43">
        <f>O18*P3</f>
        <v>2886.8611499999997</v>
      </c>
      <c r="Q18" s="62"/>
      <c r="R18" s="62">
        <f>J18-O18</f>
        <v>135.31500000000005</v>
      </c>
      <c r="S18" s="73">
        <f>-(Q18*P3)</f>
        <v>0</v>
      </c>
    </row>
    <row r="19" spans="1:19" ht="39.75" customHeight="1" x14ac:dyDescent="0.25">
      <c r="A19" s="23">
        <v>45078</v>
      </c>
      <c r="B19" s="5">
        <v>1552.9</v>
      </c>
      <c r="C19" s="5">
        <v>825.6</v>
      </c>
      <c r="D19" s="24" t="s">
        <v>43</v>
      </c>
      <c r="E19" s="5" t="s">
        <v>23</v>
      </c>
      <c r="F19" s="5"/>
      <c r="G19" s="5"/>
      <c r="H19" s="5"/>
      <c r="I19" s="8">
        <f t="shared" si="3"/>
        <v>0</v>
      </c>
      <c r="J19" s="35"/>
      <c r="K19" s="39"/>
      <c r="L19" s="59"/>
      <c r="M19" s="41"/>
      <c r="N19" s="41"/>
      <c r="O19" s="70">
        <v>602.68499999999995</v>
      </c>
      <c r="P19" s="43">
        <f>O19*P3</f>
        <v>2886.8611499999997</v>
      </c>
      <c r="Q19" s="62"/>
      <c r="R19" s="62"/>
      <c r="S19" s="73">
        <f>-(Q19*P3)</f>
        <v>0</v>
      </c>
    </row>
  </sheetData>
  <mergeCells count="22"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  <mergeCell ref="S4:S5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A2" sqref="A2"/>
    </sheetView>
  </sheetViews>
  <sheetFormatPr defaultRowHeight="15" x14ac:dyDescent="0.25"/>
  <cols>
    <col min="1" max="1" width="15.85546875" customWidth="1"/>
  </cols>
  <sheetData>
    <row r="2" spans="1:4" x14ac:dyDescent="0.25">
      <c r="A2" s="72">
        <f>'14Б'!S41+'14В'!S23+'16'!S39+'16 Б'!S23+'16 Г'!S23+'18 Г'!S23+'31'!S23+' 3'!S23+'20'!S39+'42 В'!S23+'42 Г'!S39+'4'!S23</f>
        <v>-231448.63749000002</v>
      </c>
      <c r="C2" s="72"/>
      <c r="D2" s="72"/>
    </row>
    <row r="5" spans="1:4" x14ac:dyDescent="0.25">
      <c r="D5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14Б</vt:lpstr>
      <vt:lpstr>14В</vt:lpstr>
      <vt:lpstr>16</vt:lpstr>
      <vt:lpstr>16 Б</vt:lpstr>
      <vt:lpstr>16 Г</vt:lpstr>
      <vt:lpstr>18 Г</vt:lpstr>
      <vt:lpstr>31</vt:lpstr>
      <vt:lpstr> 3</vt:lpstr>
      <vt:lpstr>20</vt:lpstr>
      <vt:lpstr>42 В</vt:lpstr>
      <vt:lpstr>42 Г</vt:lpstr>
      <vt:lpstr>4</vt:lpstr>
      <vt:lpstr>18 В</vt:lpstr>
      <vt:lpstr>33 А</vt:lpstr>
      <vt:lpstr>33 Б</vt:lpstr>
      <vt:lpstr>35</vt:lpstr>
      <vt:lpstr> 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Екатерина</cp:lastModifiedBy>
  <cp:lastPrinted>2024-03-20T11:26:21Z</cp:lastPrinted>
  <dcterms:created xsi:type="dcterms:W3CDTF">2015-06-05T18:19:34Z</dcterms:created>
  <dcterms:modified xsi:type="dcterms:W3CDTF">2024-03-20T11:45:27Z</dcterms:modified>
</cp:coreProperties>
</file>